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252" windowWidth="15360" windowHeight="8280" activeTab="2"/>
  </bookViews>
  <sheets>
    <sheet name="JuniorPartnership" sheetId="1" r:id="rId1"/>
    <sheet name="OwnerPaymentComparisons" sheetId="2" r:id="rId2"/>
    <sheet name="JuniorPartnerPaymentComparison" sheetId="3" r:id="rId3"/>
  </sheets>
  <calcPr calcId="145621"/>
</workbook>
</file>

<file path=xl/calcChain.xml><?xml version="1.0" encoding="utf-8"?>
<calcChain xmlns="http://schemas.openxmlformats.org/spreadsheetml/2006/main">
  <c r="I24" i="3" l="1"/>
  <c r="E45" i="1" l="1"/>
  <c r="E44" i="1"/>
  <c r="E43" i="1"/>
  <c r="E42" i="1"/>
  <c r="E41" i="1"/>
  <c r="E40" i="1"/>
  <c r="L18" i="1" l="1"/>
  <c r="M18" i="1"/>
  <c r="C20" i="1"/>
  <c r="C23" i="1" s="1"/>
  <c r="M19" i="1"/>
  <c r="J18" i="1"/>
  <c r="K26" i="3" l="1"/>
  <c r="P24" i="3"/>
  <c r="P23" i="3"/>
  <c r="P22" i="3"/>
  <c r="P21" i="3"/>
  <c r="P20" i="3"/>
  <c r="P19" i="3"/>
  <c r="P18" i="3"/>
  <c r="P17" i="3"/>
  <c r="P16" i="3"/>
  <c r="P15" i="3"/>
  <c r="F15" i="3"/>
  <c r="F16" i="3" s="1"/>
  <c r="F17" i="3" s="1"/>
  <c r="F18" i="3" s="1"/>
  <c r="F19" i="3" s="1"/>
  <c r="F20" i="3" s="1"/>
  <c r="F21" i="3" s="1"/>
  <c r="F22" i="3" s="1"/>
  <c r="F23" i="3" s="1"/>
  <c r="B15" i="3"/>
  <c r="A15" i="3"/>
  <c r="A24" i="3"/>
  <c r="A23" i="3"/>
  <c r="A22" i="3"/>
  <c r="A21" i="3"/>
  <c r="A20" i="3"/>
  <c r="A19" i="3"/>
  <c r="A18" i="3"/>
  <c r="A17" i="3"/>
  <c r="A16" i="3"/>
  <c r="I18" i="1"/>
  <c r="B11" i="2"/>
  <c r="C6" i="2"/>
  <c r="E39" i="1"/>
  <c r="E38" i="1"/>
  <c r="E37" i="1"/>
  <c r="E36" i="1"/>
  <c r="A36" i="1"/>
  <c r="A37" i="1" s="1"/>
  <c r="A38" i="1" s="1"/>
  <c r="A39" i="1" s="1"/>
  <c r="A40" i="1" s="1"/>
  <c r="A41" i="1" s="1"/>
  <c r="A42" i="1" s="1"/>
  <c r="A43" i="1" s="1"/>
  <c r="A44" i="1" s="1"/>
  <c r="A45" i="1" s="1"/>
  <c r="D23" i="1"/>
  <c r="E23" i="1" s="1"/>
  <c r="F23" i="1" s="1"/>
  <c r="C19" i="1"/>
  <c r="D18" i="1"/>
  <c r="E18" i="1"/>
  <c r="F18" i="1"/>
  <c r="G18" i="1"/>
  <c r="H18" i="1"/>
  <c r="K18" i="1"/>
  <c r="E46" i="1" l="1"/>
  <c r="C13" i="2"/>
  <c r="G23" i="1"/>
  <c r="H23" i="1" s="1"/>
  <c r="I23" i="1" s="1"/>
  <c r="J23" i="1" s="1"/>
  <c r="K23" i="1" s="1"/>
  <c r="C22" i="1"/>
  <c r="C21" i="1"/>
  <c r="I15" i="3" s="1"/>
  <c r="G36" i="1"/>
  <c r="F24" i="3"/>
  <c r="C24" i="1"/>
  <c r="D19" i="1"/>
  <c r="B16" i="3"/>
  <c r="C15" i="3"/>
  <c r="D15" i="3" s="1"/>
  <c r="E15" i="3" s="1"/>
  <c r="L23" i="1" l="1"/>
  <c r="D22" i="1"/>
  <c r="D21" i="1"/>
  <c r="E19" i="1"/>
  <c r="C25" i="1"/>
  <c r="B17" i="3"/>
  <c r="C16" i="3"/>
  <c r="D16" i="3" s="1"/>
  <c r="E16" i="3" s="1"/>
  <c r="D24" i="1" l="1"/>
  <c r="B18" i="3"/>
  <c r="C17" i="3"/>
  <c r="D17" i="3" s="1"/>
  <c r="E17" i="3" s="1"/>
  <c r="I16" i="3"/>
  <c r="G37" i="1"/>
  <c r="E22" i="1"/>
  <c r="E21" i="1"/>
  <c r="F19" i="1"/>
  <c r="D25" i="1" l="1"/>
  <c r="E24" i="1"/>
  <c r="E25" i="1" s="1"/>
  <c r="I17" i="3"/>
  <c r="G38" i="1"/>
  <c r="C18" i="3"/>
  <c r="D18" i="3" s="1"/>
  <c r="E18" i="3" s="1"/>
  <c r="B19" i="3"/>
  <c r="F22" i="1"/>
  <c r="F21" i="1"/>
  <c r="G19" i="1"/>
  <c r="G39" i="1" l="1"/>
  <c r="I18" i="3"/>
  <c r="H19" i="1"/>
  <c r="I19" i="1" s="1"/>
  <c r="G22" i="1"/>
  <c r="G21" i="1"/>
  <c r="G40" i="1" s="1"/>
  <c r="F24" i="1"/>
  <c r="C19" i="3"/>
  <c r="D19" i="3" s="1"/>
  <c r="E19" i="3" s="1"/>
  <c r="B20" i="3"/>
  <c r="B21" i="3" s="1"/>
  <c r="I21" i="1" l="1"/>
  <c r="G42" i="1" s="1"/>
  <c r="J19" i="1"/>
  <c r="K19" i="1" s="1"/>
  <c r="B22" i="3"/>
  <c r="C21" i="3"/>
  <c r="D21" i="3" s="1"/>
  <c r="G24" i="1"/>
  <c r="G25" i="1" s="1"/>
  <c r="F25" i="1"/>
  <c r="I19" i="3"/>
  <c r="C20" i="3"/>
  <c r="D20" i="3" s="1"/>
  <c r="E20" i="3" s="1"/>
  <c r="H21" i="1"/>
  <c r="G41" i="1" s="1"/>
  <c r="H22" i="1"/>
  <c r="I22" i="1"/>
  <c r="L19" i="1" l="1"/>
  <c r="L21" i="1" s="1"/>
  <c r="G45" i="1" s="1"/>
  <c r="K21" i="1"/>
  <c r="G44" i="1" s="1"/>
  <c r="I21" i="3"/>
  <c r="J22" i="1"/>
  <c r="J21" i="1"/>
  <c r="G43" i="1" s="1"/>
  <c r="E21" i="3"/>
  <c r="C22" i="3"/>
  <c r="D22" i="3" s="1"/>
  <c r="B23" i="3"/>
  <c r="I20" i="3"/>
  <c r="H24" i="1"/>
  <c r="I22" i="3" l="1"/>
  <c r="G46" i="1"/>
  <c r="E22" i="3"/>
  <c r="K22" i="1"/>
  <c r="L22" i="1" s="1"/>
  <c r="I23" i="3"/>
  <c r="C23" i="3"/>
  <c r="D23" i="3" s="1"/>
  <c r="B24" i="3"/>
  <c r="J24" i="1"/>
  <c r="J25" i="1" s="1"/>
  <c r="H25" i="1"/>
  <c r="I24" i="1"/>
  <c r="M22" i="1" l="1"/>
  <c r="E23" i="3"/>
  <c r="I25" i="1"/>
  <c r="C24" i="3"/>
  <c r="D24" i="3" s="1"/>
  <c r="K24" i="1"/>
  <c r="L24" i="1" s="1"/>
  <c r="E24" i="3" l="1"/>
  <c r="M24" i="1"/>
  <c r="F13" i="2" s="1"/>
  <c r="K25" i="1"/>
  <c r="L25" i="1" s="1"/>
  <c r="M25" i="1" l="1"/>
  <c r="F9" i="2" s="1"/>
  <c r="D17" i="2" s="1"/>
  <c r="N15" i="3"/>
  <c r="G15" i="3"/>
  <c r="H15" i="3" s="1"/>
  <c r="J15" i="3" s="1"/>
  <c r="C36" i="1"/>
  <c r="D20" i="1"/>
  <c r="N16" i="3" s="1"/>
  <c r="F36" i="1" l="1"/>
  <c r="I36" i="1" s="1"/>
  <c r="E20" i="1"/>
  <c r="G17" i="3" s="1"/>
  <c r="H17" i="3" s="1"/>
  <c r="J17" i="3" s="1"/>
  <c r="K17" i="3" s="1"/>
  <c r="L17" i="3" s="1"/>
  <c r="G16" i="3"/>
  <c r="H16" i="3" s="1"/>
  <c r="J16" i="3" s="1"/>
  <c r="K16" i="3" s="1"/>
  <c r="C37" i="1"/>
  <c r="F37" i="1" s="1"/>
  <c r="I37" i="1" s="1"/>
  <c r="K15" i="3"/>
  <c r="L15" i="3" s="1"/>
  <c r="M15" i="3" s="1"/>
  <c r="O15" i="3" s="1"/>
  <c r="N17" i="3" l="1"/>
  <c r="F20" i="1"/>
  <c r="C39" i="1" s="1"/>
  <c r="F39" i="1" s="1"/>
  <c r="I39" i="1" s="1"/>
  <c r="C38" i="1"/>
  <c r="F38" i="1" s="1"/>
  <c r="I38" i="1" s="1"/>
  <c r="L16" i="3"/>
  <c r="M16" i="3" s="1"/>
  <c r="O16" i="3" s="1"/>
  <c r="N18" i="3" l="1"/>
  <c r="G20" i="1"/>
  <c r="H20" i="1" s="1"/>
  <c r="G18" i="3"/>
  <c r="H18" i="3" s="1"/>
  <c r="J18" i="3" s="1"/>
  <c r="K18" i="3" s="1"/>
  <c r="L18" i="3" s="1"/>
  <c r="M17" i="3"/>
  <c r="O17" i="3" s="1"/>
  <c r="C41" i="1" l="1"/>
  <c r="F41" i="1" s="1"/>
  <c r="I41" i="1" s="1"/>
  <c r="C40" i="1"/>
  <c r="G19" i="3"/>
  <c r="H19" i="3" s="1"/>
  <c r="J19" i="3" s="1"/>
  <c r="K19" i="3" s="1"/>
  <c r="L19" i="3" s="1"/>
  <c r="N19" i="3"/>
  <c r="M18" i="3"/>
  <c r="O18" i="3" s="1"/>
  <c r="G20" i="3"/>
  <c r="H20" i="3" s="1"/>
  <c r="J20" i="3" s="1"/>
  <c r="N21" i="3"/>
  <c r="I20" i="1"/>
  <c r="N20" i="3"/>
  <c r="C42" i="1" l="1"/>
  <c r="F42" i="1" s="1"/>
  <c r="I42" i="1" s="1"/>
  <c r="F40" i="1"/>
  <c r="I40" i="1" s="1"/>
  <c r="M19" i="3"/>
  <c r="O19" i="3" s="1"/>
  <c r="G21" i="3"/>
  <c r="H21" i="3" s="1"/>
  <c r="J21" i="3" s="1"/>
  <c r="J20" i="1"/>
  <c r="N22" i="3"/>
  <c r="K20" i="3"/>
  <c r="L20" i="3" s="1"/>
  <c r="C43" i="1" l="1"/>
  <c r="F43" i="1" s="1"/>
  <c r="I43" i="1" s="1"/>
  <c r="M20" i="3"/>
  <c r="O20" i="3" s="1"/>
  <c r="K21" i="3"/>
  <c r="L21" i="3" s="1"/>
  <c r="K20" i="1"/>
  <c r="N23" i="3"/>
  <c r="G22" i="3"/>
  <c r="H22" i="3" s="1"/>
  <c r="J22" i="3" s="1"/>
  <c r="C44" i="1" l="1"/>
  <c r="F44" i="1" s="1"/>
  <c r="I44" i="1" s="1"/>
  <c r="L20" i="1"/>
  <c r="M21" i="3"/>
  <c r="O21" i="3" s="1"/>
  <c r="G23" i="3"/>
  <c r="H23" i="3" s="1"/>
  <c r="J23" i="3" s="1"/>
  <c r="K23" i="3" s="1"/>
  <c r="L23" i="3" s="1"/>
  <c r="N24" i="3"/>
  <c r="K22" i="3"/>
  <c r="L22" i="3" s="1"/>
  <c r="C45" i="1" l="1"/>
  <c r="F45" i="1" s="1"/>
  <c r="I45" i="1" s="1"/>
  <c r="G24" i="3"/>
  <c r="H24" i="3" s="1"/>
  <c r="J24" i="3" s="1"/>
  <c r="K24" i="3" s="1"/>
  <c r="L24" i="3" s="1"/>
  <c r="C46" i="1"/>
  <c r="I46" i="1"/>
  <c r="F46" i="1"/>
  <c r="M22" i="3"/>
  <c r="O22" i="3" s="1"/>
  <c r="M23" i="3" l="1"/>
  <c r="O23" i="3" s="1"/>
  <c r="M24" i="3" l="1"/>
  <c r="O24" i="3" s="1"/>
  <c r="K30" i="3" s="1"/>
</calcChain>
</file>

<file path=xl/sharedStrings.xml><?xml version="1.0" encoding="utf-8"?>
<sst xmlns="http://schemas.openxmlformats.org/spreadsheetml/2006/main" count="65" uniqueCount="61">
  <si>
    <t>Establishing a Junior Partnership</t>
  </si>
  <si>
    <t>Time Frame for Purchase</t>
  </si>
  <si>
    <t>Initial Value of Pharmacy</t>
  </si>
  <si>
    <t>Annual Growth in Value of Pharmacy</t>
  </si>
  <si>
    <t>Income to Owner from Net Profit and Purchase Payments</t>
  </si>
  <si>
    <t>Pharmacy Value</t>
  </si>
  <si>
    <t>Jr. Partner % Own</t>
  </si>
  <si>
    <t>$ to Seller</t>
  </si>
  <si>
    <t>Net Profit</t>
  </si>
  <si>
    <t>Seller % Own</t>
  </si>
  <si>
    <t>Seller NP $</t>
  </si>
  <si>
    <t>Total to Seller</t>
  </si>
  <si>
    <t>End Yr 1</t>
  </si>
  <si>
    <t>Net Profit as a Percentage of Pharmacy Value each year</t>
  </si>
  <si>
    <t>% Owned by Jr Partner Each Year</t>
  </si>
  <si>
    <t>If Current Owner will help finance Junior Partner, then amount financed?</t>
  </si>
  <si>
    <t>If not, leave box blank.</t>
  </si>
  <si>
    <t>Note:  Net Profit here is determined as a percentage of the value of the pharmacy, and not as a percentage of total sales for the pharmacy.</t>
  </si>
  <si>
    <t>Income and Projected Payments of Junior Partner</t>
  </si>
  <si>
    <t>Year of Agreement</t>
  </si>
  <si>
    <t>Income from Net Profit</t>
  </si>
  <si>
    <t>Annual Bonus</t>
  </si>
  <si>
    <t>Profit + Bonus</t>
  </si>
  <si>
    <t>End of Year Payment to Current Owner</t>
  </si>
  <si>
    <t>Annual Bonus paid to Junior Partner as an incentive to stay</t>
  </si>
  <si>
    <t>If no bonus paid, leave blank.</t>
  </si>
  <si>
    <t>If Current Owner chooses to sell pharmacy for one lump sum</t>
  </si>
  <si>
    <t>If Current Owner chooses Junior Partnership agreement</t>
  </si>
  <si>
    <t>Buyout Sum</t>
  </si>
  <si>
    <t>Years later, lump sum would be worth:</t>
  </si>
  <si>
    <t>Junior Partnership Amount minus Lump Sum Amount</t>
  </si>
  <si>
    <t>Potential Income if working for Chain Pharmacy</t>
  </si>
  <si>
    <t>Potential Income from Junior Partnership Agreement</t>
  </si>
  <si>
    <t>Potential Starting Salary</t>
  </si>
  <si>
    <t>Tax Bracket</t>
  </si>
  <si>
    <t>Estimated Annual Taxes</t>
  </si>
  <si>
    <t>Salary</t>
  </si>
  <si>
    <t>Annual Dollars Post Tax</t>
  </si>
  <si>
    <t>Cumulative Post Tax Dollars</t>
  </si>
  <si>
    <t>Stipulated Salary as Staff Pharmacist</t>
  </si>
  <si>
    <t>Annual % Raise in Salary</t>
  </si>
  <si>
    <t>Total Net Worth</t>
  </si>
  <si>
    <t>Years later, Net Worth of Junior Partnership minus the Cumulative Post Tax Dollars that would have been earned working as a Staff Pharmacist for a Chain Drug Store</t>
  </si>
  <si>
    <t>Payment to Seller</t>
  </si>
  <si>
    <t>Profit from Pharmacy</t>
  </si>
  <si>
    <t>Amount to save  to Avoid Borrowing</t>
  </si>
  <si>
    <t>Worth of Ownership in Pharmacy</t>
  </si>
  <si>
    <t>For more information regarding Junior Partnerships please contact info@ncpanet.org</t>
  </si>
  <si>
    <t>If Invested with Interest Rate of (enter %)</t>
  </si>
  <si>
    <t xml:space="preserve">Total Share of Annual Net Profits </t>
  </si>
  <si>
    <t>Total Payments Received from Buyer</t>
  </si>
  <si>
    <t>Modify white cells for individual scenario</t>
  </si>
  <si>
    <t>Total Income</t>
  </si>
  <si>
    <t>Pre-Tax Income</t>
  </si>
  <si>
    <t>Post-Tax Income</t>
  </si>
  <si>
    <t>Cumulative Post-Tax Income</t>
  </si>
  <si>
    <t>Total</t>
  </si>
  <si>
    <t xml:space="preserve"> (1-10 years)</t>
  </si>
  <si>
    <t>*May affect final payment if Seller finances 100%</t>
  </si>
  <si>
    <t>*Initial Downpayment on Pharmacy</t>
  </si>
  <si>
    <t>Copyright (C) 2015 National Community Pharmacists Association.  All rights reserved.  No part of this Calculator may be reproduced or transmitted in any form, or by any information storage and retrieval system, without permission in writing from the  National Community Pharmacists Association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</si>
</sst>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0.00"/>
    <numFmt numFmtId="165" formatCode="&quot;$&quot;#,##0"/>
  </numFmts>
  <fonts count="19" x14ac:knownFonts="1">
    <font>
      <sz val="11"/>
      <color theme="1"/>
      <name val="Calibri"/>
      <family val="2"/>
      <scheme val="minor"/>
    </font>
    <font>
      <b/>
      <sz val="10"/>
      <name val="Arial"/>
      <family val="2"/>
    </font>
    <font>
      <sz val="11"/>
      <color indexed="9"/>
      <name val="Calibri"/>
      <family val="2"/>
    </font>
    <font>
      <b/>
      <sz val="11"/>
      <color indexed="9"/>
      <name val="Calibri"/>
      <family val="2"/>
    </font>
    <font>
      <b/>
      <sz val="11"/>
      <color indexed="8"/>
      <name val="Calibri"/>
      <family val="2"/>
    </font>
    <font>
      <b/>
      <sz val="11"/>
      <color indexed="17"/>
      <name val="Calibri"/>
      <family val="2"/>
    </font>
    <font>
      <b/>
      <sz val="12"/>
      <color indexed="9"/>
      <name val="Calibri"/>
      <family val="2"/>
    </font>
    <font>
      <b/>
      <sz val="14"/>
      <color indexed="9"/>
      <name val="Calibri"/>
      <family val="2"/>
    </font>
    <font>
      <sz val="11"/>
      <color theme="1"/>
      <name val="Calibri"/>
      <family val="2"/>
      <scheme val="minor"/>
    </font>
    <font>
      <sz val="11"/>
      <color theme="0"/>
      <name val="Calibri"/>
      <family val="2"/>
      <scheme val="minor"/>
    </font>
    <font>
      <sz val="11"/>
      <color rgb="FF006100"/>
      <name val="Calibri"/>
      <family val="2"/>
      <scheme val="minor"/>
    </font>
    <font>
      <sz val="12"/>
      <color theme="1"/>
      <name val="Calibri"/>
      <family val="2"/>
      <scheme val="minor"/>
    </font>
    <font>
      <sz val="14"/>
      <color theme="1"/>
      <name val="Calibri"/>
      <family val="2"/>
      <scheme val="minor"/>
    </font>
    <font>
      <sz val="14"/>
      <color theme="0"/>
      <name val="Calibri"/>
      <family val="2"/>
      <scheme val="minor"/>
    </font>
    <font>
      <sz val="14"/>
      <color rgb="FF006100"/>
      <name val="Calibri"/>
      <family val="2"/>
      <scheme val="minor"/>
    </font>
    <font>
      <b/>
      <sz val="20"/>
      <color indexed="9"/>
      <name val="Calibri"/>
      <family val="2"/>
    </font>
    <font>
      <sz val="12"/>
      <color theme="0"/>
      <name val="Calibri"/>
      <family val="2"/>
      <scheme val="minor"/>
    </font>
    <font>
      <sz val="12"/>
      <color rgb="FF006100"/>
      <name val="Calibri"/>
      <family val="2"/>
      <scheme val="minor"/>
    </font>
    <font>
      <sz val="9"/>
      <color indexed="9"/>
      <name val="Calibri"/>
      <family val="2"/>
    </font>
  </fonts>
  <fills count="13">
    <fill>
      <patternFill patternType="none"/>
    </fill>
    <fill>
      <patternFill patternType="gray125"/>
    </fill>
    <fill>
      <patternFill patternType="solid">
        <fgColor theme="6" tint="0.79998168889431442"/>
        <bgColor indexed="65"/>
      </patternFill>
    </fill>
    <fill>
      <patternFill patternType="solid">
        <fgColor theme="4"/>
      </patternFill>
    </fill>
    <fill>
      <patternFill patternType="solid">
        <fgColor theme="5"/>
      </patternFill>
    </fill>
    <fill>
      <patternFill patternType="solid">
        <fgColor rgb="FFC6EFCE"/>
      </patternFill>
    </fill>
    <fill>
      <patternFill patternType="solid">
        <fgColor theme="4" tint="0.59999389629810485"/>
        <bgColor indexed="64"/>
      </patternFill>
    </fill>
    <fill>
      <patternFill patternType="solid">
        <fgColor theme="4"/>
        <bgColor indexed="64"/>
      </patternFill>
    </fill>
    <fill>
      <patternFill patternType="solid">
        <fgColor theme="5"/>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rgb="FFC6EFCE"/>
        <bgColor indexed="64"/>
      </patternFill>
    </fill>
  </fills>
  <borders count="21">
    <border>
      <left/>
      <right/>
      <top/>
      <bottom/>
      <diagonal/>
    </border>
    <border>
      <left/>
      <right/>
      <top style="thick">
        <color indexed="64"/>
      </top>
      <bottom/>
      <diagonal/>
    </border>
    <border>
      <left/>
      <right/>
      <top/>
      <bottom style="thick">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ck">
        <color auto="1"/>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5">
    <xf numFmtId="0" fontId="0" fillId="0" borderId="0"/>
    <xf numFmtId="0" fontId="8"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cellStyleXfs>
  <cellXfs count="151">
    <xf numFmtId="0" fontId="0" fillId="0" borderId="0" xfId="0"/>
    <xf numFmtId="0" fontId="9" fillId="3" borderId="0" xfId="2"/>
    <xf numFmtId="0" fontId="3" fillId="3" borderId="0" xfId="2" applyFont="1"/>
    <xf numFmtId="0" fontId="3" fillId="4" borderId="0" xfId="3" applyFont="1"/>
    <xf numFmtId="10" fontId="9" fillId="3" borderId="0" xfId="2" applyNumberFormat="1"/>
    <xf numFmtId="0" fontId="9" fillId="3" borderId="0" xfId="2" applyBorder="1"/>
    <xf numFmtId="0" fontId="9" fillId="3" borderId="0" xfId="2" applyBorder="1" applyAlignment="1">
      <alignment horizontal="left" vertical="top" wrapText="1"/>
    </xf>
    <xf numFmtId="0" fontId="0" fillId="0" borderId="0" xfId="0" applyBorder="1"/>
    <xf numFmtId="0" fontId="1" fillId="0" borderId="0" xfId="0" applyFont="1" applyBorder="1" applyAlignment="1">
      <alignment horizontal="center" wrapText="1"/>
    </xf>
    <xf numFmtId="164" fontId="0" fillId="0" borderId="0" xfId="0" applyNumberFormat="1" applyBorder="1"/>
    <xf numFmtId="0" fontId="1" fillId="0" borderId="0" xfId="0" applyFont="1" applyFill="1" applyBorder="1" applyAlignment="1">
      <alignment horizontal="center" wrapText="1"/>
    </xf>
    <xf numFmtId="0" fontId="9" fillId="4" borderId="0" xfId="3" applyBorder="1"/>
    <xf numFmtId="43" fontId="10" fillId="5" borderId="0" xfId="4" applyNumberFormat="1" applyAlignment="1"/>
    <xf numFmtId="43" fontId="10" fillId="5" borderId="0" xfId="4" applyNumberFormat="1"/>
    <xf numFmtId="43" fontId="10" fillId="5" borderId="0" xfId="4" applyNumberFormat="1" applyAlignment="1">
      <alignment horizontal="right"/>
    </xf>
    <xf numFmtId="0" fontId="3" fillId="3" borderId="1" xfId="2" applyFont="1" applyBorder="1"/>
    <xf numFmtId="0" fontId="9" fillId="3" borderId="1" xfId="2" applyBorder="1"/>
    <xf numFmtId="0" fontId="3" fillId="3" borderId="2" xfId="2" applyFont="1" applyBorder="1"/>
    <xf numFmtId="0" fontId="9" fillId="3" borderId="2" xfId="2" applyBorder="1"/>
    <xf numFmtId="0" fontId="6" fillId="3" borderId="3" xfId="2" applyFont="1" applyBorder="1"/>
    <xf numFmtId="0" fontId="3" fillId="3" borderId="4" xfId="2" applyFont="1" applyBorder="1"/>
    <xf numFmtId="0" fontId="3" fillId="4" borderId="4" xfId="3" applyFont="1" applyBorder="1"/>
    <xf numFmtId="0" fontId="3" fillId="3" borderId="5" xfId="2" applyFont="1" applyBorder="1"/>
    <xf numFmtId="0" fontId="9" fillId="3" borderId="4" xfId="2" applyBorder="1"/>
    <xf numFmtId="0" fontId="9" fillId="4" borderId="4" xfId="3" applyBorder="1"/>
    <xf numFmtId="0" fontId="0" fillId="0" borderId="0" xfId="0" applyAlignment="1"/>
    <xf numFmtId="0" fontId="11" fillId="0" borderId="0" xfId="0" applyFont="1"/>
    <xf numFmtId="0" fontId="0" fillId="7" borderId="0" xfId="1" applyFont="1" applyFill="1" applyAlignment="1">
      <alignment vertical="center"/>
    </xf>
    <xf numFmtId="0" fontId="8" fillId="7" borderId="0" xfId="1" applyFill="1" applyAlignment="1">
      <alignment vertical="center"/>
    </xf>
    <xf numFmtId="0" fontId="9" fillId="4" borderId="0" xfId="3" applyFont="1"/>
    <xf numFmtId="164" fontId="10" fillId="5" borderId="0" xfId="4" applyNumberFormat="1" applyFont="1"/>
    <xf numFmtId="0" fontId="12" fillId="7" borderId="0" xfId="0" applyFont="1" applyFill="1"/>
    <xf numFmtId="0" fontId="13" fillId="3" borderId="0" xfId="2" applyFont="1"/>
    <xf numFmtId="0" fontId="7" fillId="3" borderId="0" xfId="2" applyFont="1" applyAlignment="1">
      <alignment horizontal="center" vertical="top" wrapText="1"/>
    </xf>
    <xf numFmtId="0" fontId="7" fillId="3" borderId="0" xfId="2" applyFont="1"/>
    <xf numFmtId="0" fontId="13" fillId="3" borderId="0" xfId="2" applyFont="1" applyAlignment="1">
      <alignment horizontal="center"/>
    </xf>
    <xf numFmtId="0" fontId="13" fillId="4" borderId="0" xfId="3" applyFont="1"/>
    <xf numFmtId="0" fontId="13" fillId="3" borderId="0" xfId="2" applyFont="1" applyAlignment="1">
      <alignment vertical="top" wrapText="1"/>
    </xf>
    <xf numFmtId="0" fontId="13" fillId="3" borderId="18" xfId="2" applyFont="1" applyBorder="1"/>
    <xf numFmtId="0" fontId="13" fillId="3" borderId="18" xfId="2" applyFont="1" applyBorder="1" applyAlignment="1">
      <alignment vertical="top" wrapText="1"/>
    </xf>
    <xf numFmtId="0" fontId="12" fillId="7" borderId="18" xfId="0" applyFont="1" applyFill="1" applyBorder="1"/>
    <xf numFmtId="0" fontId="0" fillId="10" borderId="0" xfId="0" applyFill="1"/>
    <xf numFmtId="0" fontId="12" fillId="10" borderId="0" xfId="0" applyFont="1" applyFill="1"/>
    <xf numFmtId="0" fontId="13" fillId="10" borderId="0" xfId="2" applyFont="1" applyFill="1" applyBorder="1"/>
    <xf numFmtId="0" fontId="13" fillId="10" borderId="0" xfId="2" applyFont="1" applyFill="1"/>
    <xf numFmtId="0" fontId="7" fillId="10" borderId="0" xfId="2" applyFont="1" applyFill="1"/>
    <xf numFmtId="0" fontId="7" fillId="10" borderId="0" xfId="2" applyFont="1" applyFill="1" applyAlignment="1"/>
    <xf numFmtId="164" fontId="14" fillId="10" borderId="0" xfId="4" applyNumberFormat="1" applyFont="1" applyFill="1" applyBorder="1" applyAlignment="1"/>
    <xf numFmtId="0" fontId="13" fillId="10" borderId="0" xfId="2" applyFont="1" applyFill="1" applyBorder="1" applyAlignment="1">
      <alignment horizontal="center" wrapText="1"/>
    </xf>
    <xf numFmtId="0" fontId="13" fillId="10" borderId="0" xfId="3" applyFont="1" applyFill="1"/>
    <xf numFmtId="1" fontId="13" fillId="8" borderId="0" xfId="3" applyNumberFormat="1" applyFont="1" applyFill="1" applyAlignment="1">
      <alignment horizontal="right" vertical="center"/>
    </xf>
    <xf numFmtId="0" fontId="13" fillId="8" borderId="0" xfId="3" applyFont="1" applyFill="1"/>
    <xf numFmtId="0" fontId="7" fillId="3" borderId="0" xfId="2" applyFont="1" applyAlignment="1">
      <alignment vertical="center" wrapText="1"/>
    </xf>
    <xf numFmtId="10" fontId="12" fillId="7" borderId="0" xfId="0" applyNumberFormat="1" applyFont="1" applyFill="1" applyAlignment="1" applyProtection="1">
      <alignment vertical="center"/>
      <protection locked="0"/>
    </xf>
    <xf numFmtId="0" fontId="7" fillId="3" borderId="0" xfId="2" applyFont="1" applyAlignment="1">
      <alignment horizontal="center" vertical="center" wrapText="1"/>
    </xf>
    <xf numFmtId="0" fontId="7" fillId="3" borderId="0" xfId="2" applyFont="1" applyAlignment="1">
      <alignment horizontal="center"/>
    </xf>
    <xf numFmtId="164" fontId="14" fillId="7" borderId="0" xfId="4" applyNumberFormat="1" applyFont="1" applyFill="1" applyAlignment="1"/>
    <xf numFmtId="1" fontId="7" fillId="3" borderId="0" xfId="2" applyNumberFormat="1" applyFont="1" applyAlignment="1">
      <alignment vertical="top"/>
    </xf>
    <xf numFmtId="0" fontId="13" fillId="3" borderId="0" xfId="2" applyFont="1" applyAlignment="1">
      <alignment wrapText="1"/>
    </xf>
    <xf numFmtId="0" fontId="12" fillId="8" borderId="0" xfId="0" applyFont="1" applyFill="1"/>
    <xf numFmtId="164" fontId="10" fillId="5" borderId="18" xfId="4" applyNumberFormat="1" applyFont="1" applyBorder="1"/>
    <xf numFmtId="4" fontId="10" fillId="5" borderId="0" xfId="4" applyNumberFormat="1" applyFont="1" applyBorder="1"/>
    <xf numFmtId="43" fontId="10" fillId="5" borderId="0" xfId="4" applyNumberFormat="1" applyFont="1"/>
    <xf numFmtId="4" fontId="10" fillId="5" borderId="0" xfId="4" applyNumberFormat="1" applyFont="1"/>
    <xf numFmtId="4" fontId="10" fillId="5" borderId="0" xfId="4" applyNumberFormat="1" applyFont="1" applyAlignment="1">
      <alignment horizontal="center"/>
    </xf>
    <xf numFmtId="0" fontId="9" fillId="11" borderId="0" xfId="3" applyFont="1" applyFill="1"/>
    <xf numFmtId="0" fontId="8" fillId="0" borderId="0" xfId="0" applyFont="1"/>
    <xf numFmtId="0" fontId="13" fillId="10" borderId="0" xfId="3" applyFont="1" applyFill="1" applyBorder="1" applyAlignment="1">
      <alignment horizontal="left" vertical="top" wrapText="1"/>
    </xf>
    <xf numFmtId="164" fontId="10" fillId="7" borderId="0" xfId="4" applyNumberFormat="1" applyFont="1" applyFill="1"/>
    <xf numFmtId="164" fontId="10" fillId="7" borderId="18" xfId="4" applyNumberFormat="1" applyFont="1" applyFill="1" applyBorder="1"/>
    <xf numFmtId="4" fontId="10" fillId="10" borderId="0" xfId="4" applyNumberFormat="1" applyFont="1" applyFill="1" applyBorder="1"/>
    <xf numFmtId="43" fontId="10" fillId="10" borderId="0" xfId="4" applyNumberFormat="1" applyFont="1" applyFill="1" applyBorder="1" applyAlignment="1">
      <alignment horizontal="centerContinuous" wrapText="1"/>
    </xf>
    <xf numFmtId="4" fontId="10" fillId="10" borderId="0" xfId="4" applyNumberFormat="1" applyFont="1" applyFill="1"/>
    <xf numFmtId="4" fontId="10" fillId="10" borderId="0" xfId="4" applyNumberFormat="1" applyFont="1" applyFill="1" applyAlignment="1">
      <alignment horizontal="center"/>
    </xf>
    <xf numFmtId="0" fontId="9" fillId="10" borderId="0" xfId="3" applyFont="1" applyFill="1"/>
    <xf numFmtId="165" fontId="5" fillId="5" borderId="0" xfId="4" applyNumberFormat="1" applyFont="1"/>
    <xf numFmtId="9" fontId="5" fillId="5" borderId="0" xfId="4" applyNumberFormat="1" applyFont="1"/>
    <xf numFmtId="0" fontId="9" fillId="4" borderId="19" xfId="3" applyBorder="1"/>
    <xf numFmtId="0" fontId="9" fillId="4" borderId="20" xfId="3" applyBorder="1"/>
    <xf numFmtId="43" fontId="10" fillId="5" borderId="20" xfId="4" applyNumberFormat="1" applyBorder="1"/>
    <xf numFmtId="43" fontId="10" fillId="5" borderId="16" xfId="4" applyNumberFormat="1" applyBorder="1"/>
    <xf numFmtId="0" fontId="16" fillId="4" borderId="0" xfId="3" applyFont="1" applyAlignment="1">
      <alignment horizontal="center" vertical="center"/>
    </xf>
    <xf numFmtId="0" fontId="16" fillId="4" borderId="0" xfId="3" applyFont="1" applyAlignment="1">
      <alignment horizontal="center" vertical="center" wrapText="1"/>
    </xf>
    <xf numFmtId="0" fontId="16" fillId="4" borderId="18" xfId="3" applyFont="1" applyBorder="1" applyAlignment="1">
      <alignment horizontal="center" vertical="center" wrapText="1"/>
    </xf>
    <xf numFmtId="0" fontId="16" fillId="11" borderId="0" xfId="3" applyFont="1" applyFill="1" applyBorder="1" applyAlignment="1">
      <alignment horizontal="center" vertical="center" wrapText="1"/>
    </xf>
    <xf numFmtId="0" fontId="16" fillId="11" borderId="0" xfId="3" applyFont="1" applyFill="1" applyAlignment="1">
      <alignment horizontal="center" vertical="center" wrapText="1"/>
    </xf>
    <xf numFmtId="0" fontId="16" fillId="11" borderId="0" xfId="3" applyFont="1" applyFill="1" applyAlignment="1">
      <alignment horizontal="center" vertical="center"/>
    </xf>
    <xf numFmtId="0" fontId="11" fillId="0" borderId="0" xfId="0" applyFont="1" applyAlignment="1">
      <alignment horizontal="center" vertical="center"/>
    </xf>
    <xf numFmtId="0" fontId="16" fillId="4" borderId="0" xfId="3" applyFont="1"/>
    <xf numFmtId="0" fontId="16" fillId="11" borderId="0" xfId="3" applyFont="1" applyFill="1"/>
    <xf numFmtId="165" fontId="17" fillId="5" borderId="0" xfId="4" applyNumberFormat="1" applyFont="1"/>
    <xf numFmtId="165" fontId="17" fillId="5" borderId="18" xfId="4" applyNumberFormat="1" applyFont="1" applyBorder="1"/>
    <xf numFmtId="165" fontId="17" fillId="5" borderId="0" xfId="4" applyNumberFormat="1" applyFont="1" applyBorder="1"/>
    <xf numFmtId="165" fontId="17" fillId="5" borderId="0" xfId="4" applyNumberFormat="1" applyFont="1" applyAlignment="1">
      <alignment horizontal="right"/>
    </xf>
    <xf numFmtId="0" fontId="9" fillId="4" borderId="0" xfId="3" applyAlignment="1">
      <alignment horizontal="left" vertical="top" wrapText="1"/>
    </xf>
    <xf numFmtId="0" fontId="3" fillId="3" borderId="0" xfId="2" applyFont="1" applyAlignment="1">
      <alignment horizontal="center"/>
    </xf>
    <xf numFmtId="1" fontId="4" fillId="0" borderId="0" xfId="0" applyNumberFormat="1" applyFont="1" applyProtection="1">
      <protection locked="0"/>
    </xf>
    <xf numFmtId="44" fontId="4" fillId="0" borderId="0" xfId="0" applyNumberFormat="1" applyFont="1" applyProtection="1">
      <protection locked="0"/>
    </xf>
    <xf numFmtId="0" fontId="9" fillId="3" borderId="0" xfId="2" applyBorder="1" applyAlignment="1">
      <alignment horizontal="left" vertical="top" wrapText="1"/>
    </xf>
    <xf numFmtId="0" fontId="15" fillId="3" borderId="0" xfId="2" applyFont="1" applyAlignment="1">
      <alignment horizontal="center" vertical="center" wrapText="1"/>
    </xf>
    <xf numFmtId="0" fontId="7" fillId="3" borderId="0" xfId="2" applyFont="1" applyBorder="1" applyAlignment="1">
      <alignment horizontal="center"/>
    </xf>
    <xf numFmtId="0" fontId="9" fillId="4" borderId="3" xfId="3" applyBorder="1" applyAlignment="1">
      <alignment horizontal="left" vertical="top" wrapText="1"/>
    </xf>
    <xf numFmtId="0" fontId="9" fillId="4" borderId="1" xfId="3" applyBorder="1" applyAlignment="1">
      <alignment horizontal="left" vertical="top" wrapText="1"/>
    </xf>
    <xf numFmtId="0" fontId="9" fillId="4" borderId="4" xfId="3" applyBorder="1" applyAlignment="1">
      <alignment horizontal="left" vertical="top" wrapText="1"/>
    </xf>
    <xf numFmtId="0" fontId="9" fillId="4" borderId="0" xfId="3" applyBorder="1" applyAlignment="1">
      <alignment horizontal="left" vertical="top" wrapText="1"/>
    </xf>
    <xf numFmtId="0" fontId="0" fillId="6" borderId="17" xfId="0" applyFill="1" applyBorder="1" applyAlignment="1">
      <alignment horizontal="left" wrapText="1"/>
    </xf>
    <xf numFmtId="0" fontId="8" fillId="2" borderId="0" xfId="1" applyAlignment="1">
      <alignment horizontal="center" vertical="center" wrapText="1"/>
    </xf>
    <xf numFmtId="44" fontId="3" fillId="3" borderId="0" xfId="2" applyNumberFormat="1" applyFont="1" applyAlignment="1">
      <alignment horizontal="center" wrapText="1"/>
    </xf>
    <xf numFmtId="0" fontId="2" fillId="3" borderId="0" xfId="2" applyFont="1" applyAlignment="1">
      <alignment horizontal="center"/>
    </xf>
    <xf numFmtId="10" fontId="4" fillId="0" borderId="0" xfId="0" applyNumberFormat="1" applyFont="1" applyAlignment="1" applyProtection="1">
      <alignment horizontal="center"/>
      <protection locked="0"/>
    </xf>
    <xf numFmtId="10" fontId="4" fillId="0" borderId="0" xfId="0" applyNumberFormat="1" applyFont="1" applyProtection="1">
      <protection locked="0"/>
    </xf>
    <xf numFmtId="0" fontId="3" fillId="3" borderId="0" xfId="2" applyFont="1" applyAlignment="1">
      <alignment horizontal="center" wrapText="1"/>
    </xf>
    <xf numFmtId="0" fontId="18" fillId="3" borderId="0" xfId="2" applyFont="1" applyAlignment="1">
      <alignment horizontal="left" wrapText="1"/>
    </xf>
    <xf numFmtId="44" fontId="0" fillId="0" borderId="0" xfId="0" applyNumberFormat="1" applyProtection="1">
      <protection locked="0"/>
    </xf>
    <xf numFmtId="0" fontId="7" fillId="4" borderId="0" xfId="3" applyFont="1" applyAlignment="1">
      <alignment horizontal="center" wrapText="1"/>
    </xf>
    <xf numFmtId="164" fontId="14" fillId="5" borderId="0" xfId="4" applyNumberFormat="1" applyFont="1" applyAlignment="1">
      <alignment horizontal="center"/>
    </xf>
    <xf numFmtId="0" fontId="7" fillId="3" borderId="13" xfId="2" applyFont="1" applyBorder="1" applyAlignment="1">
      <alignment horizontal="center" vertical="center" wrapText="1"/>
    </xf>
    <xf numFmtId="0" fontId="7" fillId="3" borderId="14" xfId="2" applyFont="1" applyBorder="1" applyAlignment="1">
      <alignment horizontal="center" vertical="center" wrapText="1"/>
    </xf>
    <xf numFmtId="0" fontId="7" fillId="3" borderId="15" xfId="2" applyFont="1" applyBorder="1" applyAlignment="1">
      <alignment horizontal="center" vertical="center" wrapText="1"/>
    </xf>
    <xf numFmtId="0" fontId="7" fillId="3" borderId="16" xfId="2" applyFont="1" applyBorder="1" applyAlignment="1">
      <alignment horizontal="center" vertical="center" wrapText="1"/>
    </xf>
    <xf numFmtId="0" fontId="7" fillId="3" borderId="17" xfId="2" applyFont="1" applyBorder="1" applyAlignment="1">
      <alignment horizontal="center" vertical="center" wrapText="1"/>
    </xf>
    <xf numFmtId="0" fontId="7" fillId="3" borderId="12" xfId="2" applyFont="1" applyBorder="1" applyAlignment="1">
      <alignment horizontal="center" vertical="center" wrapText="1"/>
    </xf>
    <xf numFmtId="44" fontId="14" fillId="9" borderId="0" xfId="4" applyNumberFormat="1" applyFont="1" applyFill="1" applyAlignment="1">
      <alignment horizontal="center"/>
    </xf>
    <xf numFmtId="0" fontId="7" fillId="3" borderId="0" xfId="2" applyFont="1" applyAlignment="1">
      <alignment horizontal="center" vertical="center" wrapText="1"/>
    </xf>
    <xf numFmtId="0" fontId="7" fillId="3" borderId="0" xfId="2" applyFont="1" applyAlignment="1">
      <alignment horizontal="center" wrapText="1"/>
    </xf>
    <xf numFmtId="0" fontId="13" fillId="3" borderId="0" xfId="2" applyFont="1" applyAlignment="1">
      <alignment horizontal="center" wrapText="1"/>
    </xf>
    <xf numFmtId="10" fontId="12" fillId="0" borderId="0" xfId="0" applyNumberFormat="1" applyFont="1" applyAlignment="1" applyProtection="1">
      <alignment horizontal="center" vertical="center"/>
      <protection locked="0"/>
    </xf>
    <xf numFmtId="164" fontId="14" fillId="9" borderId="0" xfId="4" applyNumberFormat="1" applyFont="1" applyFill="1" applyAlignment="1">
      <alignment horizontal="center"/>
    </xf>
    <xf numFmtId="0" fontId="7" fillId="3" borderId="0" xfId="2" applyFont="1" applyAlignment="1">
      <alignment horizontal="left" vertical="top" wrapText="1"/>
    </xf>
    <xf numFmtId="0" fontId="7" fillId="3" borderId="6" xfId="2" applyFont="1" applyBorder="1" applyAlignment="1">
      <alignment horizontal="center" vertical="center" wrapText="1"/>
    </xf>
    <xf numFmtId="0" fontId="7" fillId="3" borderId="7" xfId="2" applyFont="1" applyBorder="1" applyAlignment="1">
      <alignment horizontal="center" vertical="center" wrapText="1"/>
    </xf>
    <xf numFmtId="0" fontId="7" fillId="3" borderId="8" xfId="2" applyFont="1" applyBorder="1" applyAlignment="1">
      <alignment horizontal="center" vertical="center" wrapText="1"/>
    </xf>
    <xf numFmtId="0" fontId="7" fillId="3" borderId="9" xfId="2" applyFont="1" applyBorder="1" applyAlignment="1">
      <alignment horizontal="center" vertical="center" wrapText="1"/>
    </xf>
    <xf numFmtId="0" fontId="7" fillId="3" borderId="10" xfId="2" applyFont="1" applyBorder="1" applyAlignment="1">
      <alignment horizontal="center" vertical="center" wrapText="1"/>
    </xf>
    <xf numFmtId="0" fontId="7" fillId="3" borderId="11" xfId="2" applyFont="1" applyBorder="1" applyAlignment="1">
      <alignment horizontal="center" vertical="center" wrapText="1"/>
    </xf>
    <xf numFmtId="0" fontId="7" fillId="10" borderId="6" xfId="2" applyFont="1" applyFill="1" applyBorder="1" applyAlignment="1">
      <alignment horizontal="center" vertical="top" wrapText="1"/>
    </xf>
    <xf numFmtId="0" fontId="7" fillId="10" borderId="7" xfId="2" applyFont="1" applyFill="1" applyBorder="1" applyAlignment="1">
      <alignment horizontal="center" vertical="top" wrapText="1"/>
    </xf>
    <xf numFmtId="0" fontId="7" fillId="10" borderId="8" xfId="2" applyFont="1" applyFill="1" applyBorder="1" applyAlignment="1">
      <alignment horizontal="center" vertical="top" wrapText="1"/>
    </xf>
    <xf numFmtId="0" fontId="7" fillId="10" borderId="9" xfId="2" applyFont="1" applyFill="1" applyBorder="1" applyAlignment="1">
      <alignment horizontal="center" vertical="top" wrapText="1"/>
    </xf>
    <xf numFmtId="0" fontId="7" fillId="10" borderId="10" xfId="2" applyFont="1" applyFill="1" applyBorder="1" applyAlignment="1">
      <alignment horizontal="center" vertical="top" wrapText="1"/>
    </xf>
    <xf numFmtId="0" fontId="7" fillId="10" borderId="11" xfId="2" applyFont="1" applyFill="1" applyBorder="1" applyAlignment="1">
      <alignment horizontal="center" vertical="top" wrapText="1"/>
    </xf>
    <xf numFmtId="0" fontId="7" fillId="3" borderId="0" xfId="2" applyFont="1" applyAlignment="1">
      <alignment horizontal="center" vertical="top" wrapText="1"/>
    </xf>
    <xf numFmtId="10" fontId="12" fillId="0" borderId="0" xfId="0" applyNumberFormat="1" applyFont="1" applyProtection="1">
      <protection locked="0"/>
    </xf>
    <xf numFmtId="164" fontId="12" fillId="0" borderId="0" xfId="0" applyNumberFormat="1" applyFont="1" applyProtection="1">
      <protection locked="0"/>
    </xf>
    <xf numFmtId="44" fontId="12" fillId="0" borderId="0" xfId="0" applyNumberFormat="1" applyFont="1" applyAlignment="1" applyProtection="1">
      <alignment horizontal="center"/>
      <protection locked="0"/>
    </xf>
    <xf numFmtId="10" fontId="12" fillId="0" borderId="0" xfId="0" applyNumberFormat="1" applyFont="1" applyAlignment="1" applyProtection="1">
      <alignment horizontal="center"/>
      <protection locked="0"/>
    </xf>
    <xf numFmtId="0" fontId="7" fillId="10" borderId="0" xfId="2" applyFont="1" applyFill="1" applyAlignment="1">
      <alignment horizontal="center" wrapText="1"/>
    </xf>
    <xf numFmtId="164" fontId="14" fillId="12" borderId="0" xfId="4" applyNumberFormat="1" applyFont="1" applyFill="1" applyBorder="1" applyAlignment="1">
      <alignment horizontal="center"/>
    </xf>
    <xf numFmtId="0" fontId="13" fillId="4" borderId="0" xfId="3" applyFont="1" applyBorder="1" applyAlignment="1">
      <alignment horizontal="left" vertical="top" wrapText="1"/>
    </xf>
    <xf numFmtId="0" fontId="13" fillId="3" borderId="0" xfId="2" applyFont="1" applyAlignment="1">
      <alignment horizontal="center"/>
    </xf>
    <xf numFmtId="0" fontId="7" fillId="3" borderId="0" xfId="2" applyFont="1" applyAlignment="1">
      <alignment horizontal="center"/>
    </xf>
  </cellXfs>
  <cellStyles count="5">
    <cellStyle name="20% - Accent3" xfId="1" builtinId="38"/>
    <cellStyle name="Accent1" xfId="2" builtinId="29"/>
    <cellStyle name="Accent2" xfId="3" builtinId="33"/>
    <cellStyle name="Good" xfId="4" builtinId="26"/>
    <cellStyle name="Normal" xfId="0" builtinId="0"/>
  </cellStyles>
  <dxfs count="0"/>
  <tableStyles count="0" defaultTableStyle="TableStyleMedium9" defaultPivotStyle="PivotStyleLight16"/>
  <colors>
    <mruColors>
      <color rgb="FFC6EFC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showGridLines="0" workbookViewId="0">
      <selection activeCell="E11" sqref="E11:F11"/>
    </sheetView>
  </sheetViews>
  <sheetFormatPr defaultRowHeight="14.4" x14ac:dyDescent="0.3"/>
  <cols>
    <col min="1" max="1" width="11.6640625" customWidth="1"/>
    <col min="3" max="3" width="14.44140625" customWidth="1"/>
    <col min="4" max="5" width="11.109375" customWidth="1"/>
    <col min="6" max="6" width="15" customWidth="1"/>
    <col min="7" max="8" width="11.109375" customWidth="1"/>
    <col min="9" max="9" width="11.5546875" customWidth="1"/>
    <col min="10" max="10" width="9.109375" customWidth="1"/>
    <col min="11" max="12" width="11.109375" customWidth="1"/>
    <col min="13" max="13" width="11.33203125" customWidth="1"/>
  </cols>
  <sheetData>
    <row r="1" spans="1:13" ht="14.4" customHeight="1" x14ac:dyDescent="0.3">
      <c r="A1" s="99" t="s">
        <v>0</v>
      </c>
      <c r="B1" s="99"/>
      <c r="C1" s="99"/>
      <c r="D1" s="99"/>
      <c r="E1" s="99"/>
      <c r="F1" s="99"/>
      <c r="G1" s="5"/>
      <c r="H1" s="2"/>
      <c r="I1" s="2"/>
      <c r="J1" s="1"/>
      <c r="K1" s="1"/>
      <c r="L1" s="1"/>
      <c r="M1" s="1"/>
    </row>
    <row r="2" spans="1:13" ht="14.4" customHeight="1" x14ac:dyDescent="0.3">
      <c r="A2" s="99"/>
      <c r="B2" s="99"/>
      <c r="C2" s="99"/>
      <c r="D2" s="99"/>
      <c r="E2" s="99"/>
      <c r="F2" s="99"/>
      <c r="G2" s="98" t="s">
        <v>17</v>
      </c>
      <c r="H2" s="98"/>
      <c r="I2" s="98"/>
      <c r="J2" s="98"/>
      <c r="K2" s="1"/>
      <c r="L2" s="1"/>
      <c r="M2" s="1"/>
    </row>
    <row r="3" spans="1:13" ht="14.4" customHeight="1" x14ac:dyDescent="0.3">
      <c r="A3" s="99"/>
      <c r="B3" s="99"/>
      <c r="C3" s="99"/>
      <c r="D3" s="99"/>
      <c r="E3" s="99"/>
      <c r="F3" s="99"/>
      <c r="G3" s="98"/>
      <c r="H3" s="98"/>
      <c r="I3" s="98"/>
      <c r="J3" s="98"/>
      <c r="K3" s="1"/>
      <c r="L3" s="1"/>
      <c r="M3" s="1"/>
    </row>
    <row r="4" spans="1:13" x14ac:dyDescent="0.3">
      <c r="A4" s="95" t="s">
        <v>51</v>
      </c>
      <c r="B4" s="95"/>
      <c r="C4" s="95"/>
      <c r="D4" s="2"/>
      <c r="E4" s="2"/>
      <c r="F4" s="2"/>
      <c r="G4" s="98"/>
      <c r="H4" s="98"/>
      <c r="I4" s="98"/>
      <c r="J4" s="98"/>
      <c r="K4" s="1"/>
      <c r="L4" s="1"/>
      <c r="M4" s="1"/>
    </row>
    <row r="5" spans="1:13" ht="15" customHeight="1" x14ac:dyDescent="0.3">
      <c r="A5" s="2"/>
      <c r="B5" s="2"/>
      <c r="C5" s="2"/>
      <c r="D5" s="2"/>
      <c r="E5" s="2"/>
      <c r="F5" s="2"/>
      <c r="G5" s="6"/>
      <c r="H5" s="27"/>
      <c r="I5" s="28"/>
      <c r="J5" s="28"/>
      <c r="K5" s="1"/>
      <c r="L5" s="1"/>
      <c r="M5" s="1"/>
    </row>
    <row r="6" spans="1:13" x14ac:dyDescent="0.3">
      <c r="A6" s="2" t="s">
        <v>1</v>
      </c>
      <c r="B6" s="2"/>
      <c r="C6" s="2"/>
      <c r="D6" s="2"/>
      <c r="E6" s="2" t="s">
        <v>2</v>
      </c>
      <c r="F6" s="2"/>
      <c r="G6" s="2"/>
      <c r="H6" s="28"/>
      <c r="I6" s="28"/>
      <c r="J6" s="28"/>
      <c r="K6" s="1"/>
      <c r="L6" s="1"/>
      <c r="M6" s="1"/>
    </row>
    <row r="7" spans="1:13" x14ac:dyDescent="0.3">
      <c r="A7" s="96">
        <v>10</v>
      </c>
      <c r="B7" s="96"/>
      <c r="C7" s="2" t="s">
        <v>57</v>
      </c>
      <c r="D7" s="2"/>
      <c r="E7" s="97">
        <v>750000</v>
      </c>
      <c r="F7" s="97"/>
      <c r="G7" s="2"/>
      <c r="H7" s="28"/>
      <c r="I7" s="28"/>
      <c r="J7" s="28"/>
      <c r="K7" s="1"/>
      <c r="L7" s="1"/>
      <c r="M7" s="1"/>
    </row>
    <row r="8" spans="1:13" ht="30" customHeight="1" x14ac:dyDescent="0.3">
      <c r="A8" s="111" t="s">
        <v>14</v>
      </c>
      <c r="B8" s="111"/>
      <c r="C8" s="2"/>
      <c r="D8" s="2"/>
      <c r="E8" s="111" t="s">
        <v>3</v>
      </c>
      <c r="F8" s="111"/>
      <c r="G8" s="2"/>
      <c r="H8" s="106" t="s">
        <v>47</v>
      </c>
      <c r="I8" s="106"/>
      <c r="J8" s="106"/>
      <c r="K8" s="1"/>
      <c r="L8" s="1"/>
      <c r="M8" s="1"/>
    </row>
    <row r="9" spans="1:13" x14ac:dyDescent="0.3">
      <c r="A9" s="110">
        <v>0.1</v>
      </c>
      <c r="B9" s="110"/>
      <c r="C9" s="2"/>
      <c r="D9" s="2"/>
      <c r="E9" s="110">
        <v>0.02</v>
      </c>
      <c r="F9" s="110"/>
      <c r="G9" s="2"/>
      <c r="H9" s="106"/>
      <c r="I9" s="106"/>
      <c r="J9" s="106"/>
      <c r="K9" s="1"/>
      <c r="L9" s="1"/>
      <c r="M9" s="1"/>
    </row>
    <row r="10" spans="1:13" ht="30.75" customHeight="1" x14ac:dyDescent="0.3">
      <c r="A10" s="111" t="s">
        <v>59</v>
      </c>
      <c r="B10" s="111"/>
      <c r="C10" s="112" t="s">
        <v>58</v>
      </c>
      <c r="D10" s="112"/>
      <c r="E10" s="111" t="s">
        <v>13</v>
      </c>
      <c r="F10" s="111"/>
      <c r="G10" s="2"/>
      <c r="H10" s="106"/>
      <c r="I10" s="106"/>
      <c r="J10" s="106"/>
      <c r="K10" s="1"/>
      <c r="L10" s="1"/>
      <c r="M10" s="1"/>
    </row>
    <row r="11" spans="1:13" ht="14.4" customHeight="1" x14ac:dyDescent="0.3">
      <c r="A11" s="97">
        <v>0</v>
      </c>
      <c r="B11" s="97"/>
      <c r="C11" s="112"/>
      <c r="D11" s="112"/>
      <c r="E11" s="110">
        <v>0.2</v>
      </c>
      <c r="F11" s="110"/>
      <c r="G11" s="2"/>
      <c r="H11" s="2"/>
      <c r="I11" s="2"/>
      <c r="J11" s="1"/>
      <c r="K11" s="1"/>
      <c r="L11" s="1"/>
      <c r="M11" s="1"/>
    </row>
    <row r="12" spans="1:13" ht="46.5" customHeight="1" x14ac:dyDescent="0.3">
      <c r="A12" s="107" t="s">
        <v>15</v>
      </c>
      <c r="B12" s="107"/>
      <c r="C12" s="107"/>
      <c r="D12" s="1"/>
      <c r="E12" s="4"/>
      <c r="F12" s="4"/>
      <c r="G12" s="1"/>
      <c r="H12" s="2"/>
      <c r="I12" s="2"/>
      <c r="J12" s="1"/>
      <c r="K12" s="1"/>
      <c r="L12" s="1"/>
      <c r="M12" s="1"/>
    </row>
    <row r="13" spans="1:13" ht="30" customHeight="1" x14ac:dyDescent="0.3">
      <c r="A13" s="109">
        <v>0</v>
      </c>
      <c r="B13" s="109"/>
      <c r="C13" s="108" t="s">
        <v>16</v>
      </c>
      <c r="D13" s="108"/>
      <c r="E13" s="4"/>
      <c r="F13" s="4"/>
      <c r="G13" s="2"/>
      <c r="H13" s="2"/>
      <c r="I13" s="2"/>
      <c r="J13" s="1"/>
      <c r="K13" s="1"/>
      <c r="L13" s="1"/>
      <c r="M13" s="1"/>
    </row>
    <row r="14" spans="1:13" x14ac:dyDescent="0.3">
      <c r="A14" s="2"/>
      <c r="B14" s="2"/>
      <c r="C14" s="2"/>
      <c r="D14" s="2"/>
      <c r="E14" s="2"/>
      <c r="F14" s="2"/>
      <c r="G14" s="2"/>
      <c r="H14" s="2"/>
      <c r="I14" s="2"/>
      <c r="J14" s="1"/>
      <c r="K14" s="1"/>
      <c r="L14" s="1"/>
      <c r="M14" s="1"/>
    </row>
    <row r="15" spans="1:13" ht="15" thickBot="1" x14ac:dyDescent="0.35">
      <c r="A15" s="2"/>
      <c r="B15" s="2"/>
      <c r="C15" s="2"/>
      <c r="D15" s="2"/>
      <c r="E15" s="2"/>
      <c r="F15" s="2"/>
      <c r="G15" s="2"/>
      <c r="H15" s="2"/>
      <c r="I15" s="2"/>
      <c r="J15" s="1"/>
      <c r="K15" s="1"/>
      <c r="L15" s="1"/>
      <c r="M15" s="1"/>
    </row>
    <row r="16" spans="1:13" ht="16.2" thickTop="1" x14ac:dyDescent="0.3">
      <c r="A16" s="19" t="s">
        <v>4</v>
      </c>
      <c r="B16" s="15"/>
      <c r="C16" s="15"/>
      <c r="D16" s="15"/>
      <c r="E16" s="15"/>
      <c r="F16" s="15"/>
      <c r="G16" s="15"/>
      <c r="H16" s="15"/>
      <c r="I16" s="15"/>
      <c r="J16" s="16"/>
      <c r="K16" s="16"/>
      <c r="L16" s="16"/>
      <c r="M16" s="16"/>
    </row>
    <row r="17" spans="1:13" x14ac:dyDescent="0.3">
      <c r="A17" s="20"/>
      <c r="B17" s="2"/>
      <c r="C17" s="2"/>
      <c r="D17" s="2"/>
      <c r="E17" s="2"/>
      <c r="F17" s="2"/>
      <c r="G17" s="2"/>
      <c r="H17" s="2"/>
      <c r="I17" s="2"/>
      <c r="J17" s="1"/>
      <c r="K17" s="1"/>
      <c r="L17" s="1"/>
      <c r="M17" s="1"/>
    </row>
    <row r="18" spans="1:13" x14ac:dyDescent="0.3">
      <c r="A18" s="20"/>
      <c r="B18" s="2"/>
      <c r="C18" s="3" t="s">
        <v>12</v>
      </c>
      <c r="D18" s="3" t="str">
        <f>IF(A7&gt;1,"End Yr 2",IF(A7=1,"Total",""))</f>
        <v>End Yr 2</v>
      </c>
      <c r="E18" s="3" t="str">
        <f>IF(A7&gt;2,"End Yr 3",IF(A7=2,"Total",""))</f>
        <v>End Yr 3</v>
      </c>
      <c r="F18" s="3" t="str">
        <f>IF(A7&gt;3,"End Yr 4",IF(A7=3,"Total",""))</f>
        <v>End Yr 4</v>
      </c>
      <c r="G18" s="3" t="str">
        <f>IF(A7&gt;4,"End Yr 5",IF(A7=4,"Total",""))</f>
        <v>End Yr 5</v>
      </c>
      <c r="H18" s="3" t="str">
        <f>IF(A7&gt;5,"End Yr 6",IF(A7=5,"Total",""))</f>
        <v>End Yr 6</v>
      </c>
      <c r="I18" s="3" t="str">
        <f>IF(A7&gt;6,"End Yr 7",IF(A7=6,"Total",""))</f>
        <v>End Yr 7</v>
      </c>
      <c r="J18" s="3" t="str">
        <f>IF(A7&gt;7,"End Yr 8",IF(A7=7,"Total",""))</f>
        <v>End Yr 8</v>
      </c>
      <c r="K18" s="3" t="str">
        <f>IF(A7&gt;8,"End Yr 9",IF(A7=8,"Total",""))</f>
        <v>End Yr 9</v>
      </c>
      <c r="L18" s="3" t="str">
        <f>IF(A7&gt;9,"End Yr 10",IF(B7=9,"Total",""))</f>
        <v>End Yr 10</v>
      </c>
      <c r="M18" s="3" t="str">
        <f>IF(A7=10,"Total","")</f>
        <v>Total</v>
      </c>
    </row>
    <row r="19" spans="1:13" x14ac:dyDescent="0.3">
      <c r="A19" s="21" t="s">
        <v>5</v>
      </c>
      <c r="B19" s="3"/>
      <c r="C19" s="75">
        <f>E7</f>
        <v>750000</v>
      </c>
      <c r="D19" s="75">
        <f>IF($A$7&gt;1,C19*(1+$E$9),"")</f>
        <v>765000</v>
      </c>
      <c r="E19" s="75">
        <f>IF($A$7&gt;2,D19*(1+$E$9),"")</f>
        <v>780300</v>
      </c>
      <c r="F19" s="75">
        <f>IF($A$7&gt;3,E19*(1+$E$9),"")</f>
        <v>795906</v>
      </c>
      <c r="G19" s="75">
        <f>IF($A$7&gt;4,F19*(1+$E$9),"")</f>
        <v>811824.12</v>
      </c>
      <c r="H19" s="75">
        <f>IF($A$7&gt;5,G19*(1+$E$9),"")</f>
        <v>828060.60239999997</v>
      </c>
      <c r="I19" s="75">
        <f>IF($A$7&gt;6,H19*(1+$E$9),"")</f>
        <v>844621.81444799993</v>
      </c>
      <c r="J19" s="75">
        <f>IF($A$7&gt;7,I19*(1+$E$9),"")</f>
        <v>861514.25073695998</v>
      </c>
      <c r="K19" s="75">
        <f>IF($A$7&gt;8,J19*(1+$E$9),"")</f>
        <v>878744.53575169924</v>
      </c>
      <c r="L19" s="75">
        <f>IF($A$7&gt;9,K19*(1+$E$9),"")</f>
        <v>896319.42646673322</v>
      </c>
      <c r="M19" s="75" t="str">
        <f>IF($A$7&gt;10,L19*(1+$E$9),"")</f>
        <v/>
      </c>
    </row>
    <row r="20" spans="1:13" x14ac:dyDescent="0.3">
      <c r="A20" s="21" t="s">
        <v>6</v>
      </c>
      <c r="B20" s="3"/>
      <c r="C20" s="76">
        <f>((A11/E7)+$A$9)</f>
        <v>0.1</v>
      </c>
      <c r="D20" s="76">
        <f>IF($A$7&gt;1,C20+$A$9,"")</f>
        <v>0.2</v>
      </c>
      <c r="E20" s="76">
        <f>IF($A$7&gt;2,D20+$A$9,"")</f>
        <v>0.30000000000000004</v>
      </c>
      <c r="F20" s="76">
        <f>IF($A$7&gt;3,E20+$A$9,"")</f>
        <v>0.4</v>
      </c>
      <c r="G20" s="76">
        <f>IF($A$7&gt;4,F20+$A$9,"")</f>
        <v>0.5</v>
      </c>
      <c r="H20" s="76">
        <f>IF($A$7&gt;5,G20+$A$9,"")</f>
        <v>0.6</v>
      </c>
      <c r="I20" s="76">
        <f>IF($A$7&gt;6,H20+$A$9,"")</f>
        <v>0.7</v>
      </c>
      <c r="J20" s="76">
        <f>IF($A$7&gt;7,I20+$A$9,"")</f>
        <v>0.79999999999999993</v>
      </c>
      <c r="K20" s="76">
        <f>IF($A$7&gt;8,J20+$A$9,"")</f>
        <v>0.89999999999999991</v>
      </c>
      <c r="L20" s="76">
        <f>IF($A$7&gt;9,K20+$A$9,"")</f>
        <v>0.99999999999999989</v>
      </c>
      <c r="M20" s="76"/>
    </row>
    <row r="21" spans="1:13" x14ac:dyDescent="0.3">
      <c r="A21" s="21" t="s">
        <v>7</v>
      </c>
      <c r="B21" s="3"/>
      <c r="C21" s="75">
        <f>(A11+($C$19*($A$9-$A$13)))</f>
        <v>75000</v>
      </c>
      <c r="D21" s="75">
        <f>IF($A$7&gt;1,D19*($A$9-$A$13),"")</f>
        <v>76500</v>
      </c>
      <c r="E21" s="75">
        <f>IF($A$7&gt;2,E19*($A$9-$A$13),"")</f>
        <v>78030</v>
      </c>
      <c r="F21" s="75">
        <f>IF($A$7&gt;3,F19*($A$9-$A$13),"")</f>
        <v>79590.600000000006</v>
      </c>
      <c r="G21" s="75">
        <f>IF($A$7&gt;4,G19*($A$9-$A$13),"")</f>
        <v>81182.412000000011</v>
      </c>
      <c r="H21" s="75">
        <f>IF($A$7&gt;5,H19*($A$9-$A$13),"")</f>
        <v>82806.060240000006</v>
      </c>
      <c r="I21" s="75">
        <f>IF($A$7&gt;6,I19*($A$9-$A$13),"")</f>
        <v>84462.181444799993</v>
      </c>
      <c r="J21" s="75">
        <f>IF($A$7&gt;7,J19*($A$9-$A$13),"")</f>
        <v>86151.425073696009</v>
      </c>
      <c r="K21" s="75">
        <f>IF($A$7&gt;8,K19*($A$9-$A$13),"")</f>
        <v>87874.45357516993</v>
      </c>
      <c r="L21" s="75">
        <f>IF($A$7&gt;9,L19*($A$9-$A$13),"")</f>
        <v>89631.942646673328</v>
      </c>
      <c r="M21" s="75"/>
    </row>
    <row r="22" spans="1:13" x14ac:dyDescent="0.3">
      <c r="A22" s="21" t="s">
        <v>8</v>
      </c>
      <c r="B22" s="3"/>
      <c r="C22" s="75">
        <f>C19*E11</f>
        <v>150000</v>
      </c>
      <c r="D22" s="75">
        <f>IF($A$7&gt;1,D19*E11,IF($A$7=1,SUM(C22),""))</f>
        <v>153000</v>
      </c>
      <c r="E22" s="75">
        <f>IF($A$7&gt;2,E19*$E$11,IF($A$7=2,SUM(C22:D22),""))</f>
        <v>156060</v>
      </c>
      <c r="F22" s="75">
        <f>IF($A$7&gt;3,F19*E11,IF($A$7=3,SUM(C22:E22),""))</f>
        <v>159181.20000000001</v>
      </c>
      <c r="G22" s="75">
        <f>IF($A$7&gt;4,G19*E11,IF($A$7=4,SUM(C22:F22),""))</f>
        <v>162364.82400000002</v>
      </c>
      <c r="H22" s="75">
        <f>IF($A$7&gt;5,H19*$E$11,IF($A$7=5,SUM(C22:G22),""))</f>
        <v>165612.12048000001</v>
      </c>
      <c r="I22" s="75">
        <f>IF($A$7&gt;6,I19*$E$11,IF($A$7=6,SUM(C22:H22),""))</f>
        <v>168924.36288959999</v>
      </c>
      <c r="J22" s="75">
        <f>IF($A$7&gt;7,J19*$E$11,IF($A$7=7,SUM(C22:I22),""))</f>
        <v>172302.85014739202</v>
      </c>
      <c r="K22" s="75">
        <f>IF($A$7&gt;8,K19*$E$11,IF($A$7=8,SUM(C22:J22),""))</f>
        <v>175748.90715033986</v>
      </c>
      <c r="L22" s="75">
        <f>IF($A$7&gt;9,L19*$E$11,IF($A$7=9,SUM(D22:K22),""))</f>
        <v>179263.88529334666</v>
      </c>
      <c r="M22" s="75">
        <f>IF($A$7=10,SUM(E22:L22),"")</f>
        <v>1339458.1499606785</v>
      </c>
    </row>
    <row r="23" spans="1:13" x14ac:dyDescent="0.3">
      <c r="A23" s="21" t="s">
        <v>9</v>
      </c>
      <c r="B23" s="3"/>
      <c r="C23" s="76">
        <f>1-C20</f>
        <v>0.9</v>
      </c>
      <c r="D23" s="76">
        <f>IF($A$7&gt;1,C23-$A$9,"")</f>
        <v>0.8</v>
      </c>
      <c r="E23" s="76">
        <f>IF($A$7&gt;2,D23-$A$9,"")</f>
        <v>0.70000000000000007</v>
      </c>
      <c r="F23" s="76">
        <f>IF($A$7&gt;3,E23-$A$9,"")</f>
        <v>0.60000000000000009</v>
      </c>
      <c r="G23" s="76">
        <f>IF($A$7&gt;4,F23-$A$9,"")</f>
        <v>0.50000000000000011</v>
      </c>
      <c r="H23" s="76">
        <f>IF($A$7&gt;5,G23-$A$9,"")</f>
        <v>0.40000000000000013</v>
      </c>
      <c r="I23" s="76">
        <f>IF($A$7&gt;6,H23-$A$9,"")</f>
        <v>0.30000000000000016</v>
      </c>
      <c r="J23" s="76">
        <f>IF($A$7&gt;7,I23-$A$9,"")</f>
        <v>0.20000000000000015</v>
      </c>
      <c r="K23" s="76">
        <f>IF($A$7&gt;8,J23-$A$9,"")</f>
        <v>0.10000000000000014</v>
      </c>
      <c r="L23" s="76">
        <f>IF($A$7&gt;9,K23-$A$9,"")</f>
        <v>1.3877787807814457E-16</v>
      </c>
      <c r="M23" s="76"/>
    </row>
    <row r="24" spans="1:13" x14ac:dyDescent="0.3">
      <c r="A24" s="21" t="s">
        <v>10</v>
      </c>
      <c r="B24" s="3"/>
      <c r="C24" s="75">
        <f>C22*C23</f>
        <v>135000</v>
      </c>
      <c r="D24" s="75">
        <f>IF($A$7&gt;1,D22*D23,IF($A$7=1,SUM(C24),""))</f>
        <v>122400</v>
      </c>
      <c r="E24" s="75">
        <f>IF($A$7&gt;2,E22*E23,IF($A$7=2,SUM(C24:D24),""))</f>
        <v>109242.00000000001</v>
      </c>
      <c r="F24" s="75">
        <f>IF($A$7&gt;3,F22*F23,IF($A$7=3,SUM(C24:E24),""))</f>
        <v>95508.720000000016</v>
      </c>
      <c r="G24" s="75">
        <f>IF($A$7&gt;4,G22*G23,IF($A$7=4,SUM(C24:F24),""))</f>
        <v>81182.412000000026</v>
      </c>
      <c r="H24" s="75">
        <f>IF($A$7&gt;5,H22*H23,IF($A$7=5,SUM(C24:G24),""))</f>
        <v>66244.848192000034</v>
      </c>
      <c r="I24" s="75">
        <f>IF($A$7&gt;6,I22*I23,IF($A$7=6,SUM(C24:H24),""))</f>
        <v>50677.308866880019</v>
      </c>
      <c r="J24" s="75">
        <f>IF($A$7&gt;7,J22*J23,IF($A$7=7,SUM(C24:I24),""))</f>
        <v>34460.570029478433</v>
      </c>
      <c r="K24" s="75">
        <f>IF($A$7&gt;8,K22*K23,IF($A$7=8,SUM(C24:J24),""))</f>
        <v>17574.890715034013</v>
      </c>
      <c r="L24" s="75">
        <f>IF($A$7&gt;9,L22*L23,IF($A$7=9,SUM(C24:K24),""))</f>
        <v>2.4877861617054553E-11</v>
      </c>
      <c r="M24" s="75">
        <f>IF($A$7=10,SUM(C24:L24),"")</f>
        <v>712290.74980339257</v>
      </c>
    </row>
    <row r="25" spans="1:13" x14ac:dyDescent="0.3">
      <c r="A25" s="21" t="s">
        <v>11</v>
      </c>
      <c r="B25" s="3"/>
      <c r="C25" s="75">
        <f>IF($A$7&gt;0,C24+C21,IF($A$7=1,C24+C21,""))</f>
        <v>210000</v>
      </c>
      <c r="D25" s="75">
        <f>IF($A$7&gt;1,D24+D21,IF($A$7=1,SUM(C25),""))</f>
        <v>198900</v>
      </c>
      <c r="E25" s="75">
        <f>IF($A$7&gt;2,E24+E21,IF($A$7=2,SUM(C25:D25),""))</f>
        <v>187272</v>
      </c>
      <c r="F25" s="75">
        <f>IF($A$7&gt;3,F24+F21,IF($A$7=3,SUM(C25:E25),""))</f>
        <v>175099.32</v>
      </c>
      <c r="G25" s="75">
        <f>IF($A$7&gt;4,G24+G21,IF($A$7=4,SUM(C25:F25),""))</f>
        <v>162364.82400000002</v>
      </c>
      <c r="H25" s="75">
        <f>IF($A$7&gt;5,H24+H21,IF($A$7=5,SUM(C25:G25),""))</f>
        <v>149050.90843200003</v>
      </c>
      <c r="I25" s="75">
        <f>IF($A$7&gt;6,I24+I21,IF($A$7=6,SUM(C25:H25),""))</f>
        <v>135139.49031168001</v>
      </c>
      <c r="J25" s="75">
        <f>IF($A$7&gt;7,J24+J21,IF($A$7=7,SUM(C25:I25),""))</f>
        <v>120611.99510317444</v>
      </c>
      <c r="K25" s="75">
        <f>IF($A$7&gt;8,K24+K21,IF($A$7=8,SUM(C25:J25),""))</f>
        <v>105449.34429020394</v>
      </c>
      <c r="L25" s="75">
        <f>IF($A$7&gt;9,L24+L21,IF($A$7=9,SUM(C25:K25),""))</f>
        <v>89631.942646673357</v>
      </c>
      <c r="M25" s="75">
        <f>IF($A$7=10,SUM(C25:L25),"")</f>
        <v>1533519.8247837317</v>
      </c>
    </row>
    <row r="26" spans="1:13" ht="15" thickBot="1" x14ac:dyDescent="0.35">
      <c r="A26" s="22"/>
      <c r="B26" s="17"/>
      <c r="C26" s="17"/>
      <c r="D26" s="17"/>
      <c r="E26" s="17"/>
      <c r="F26" s="17"/>
      <c r="G26" s="17"/>
      <c r="H26" s="17"/>
      <c r="I26" s="17"/>
      <c r="J26" s="18"/>
      <c r="K26" s="18"/>
      <c r="L26" s="18"/>
      <c r="M26" s="18"/>
    </row>
    <row r="27" spans="1:13" ht="15" thickTop="1" x14ac:dyDescent="0.3">
      <c r="A27" s="1"/>
      <c r="B27" s="5"/>
      <c r="C27" s="5"/>
      <c r="D27" s="5"/>
      <c r="E27" s="5"/>
      <c r="F27" s="5"/>
      <c r="G27" s="5"/>
      <c r="H27" s="5"/>
      <c r="I27" s="5"/>
      <c r="J27" s="5"/>
      <c r="K27" s="5"/>
      <c r="L27" s="5"/>
      <c r="M27" s="5"/>
    </row>
    <row r="28" spans="1:13" ht="18" x14ac:dyDescent="0.35">
      <c r="A28" s="5"/>
      <c r="B28" s="100" t="s">
        <v>18</v>
      </c>
      <c r="C28" s="100"/>
      <c r="D28" s="100"/>
      <c r="E28" s="100"/>
      <c r="F28" s="100"/>
      <c r="G28" s="5"/>
      <c r="H28" s="5"/>
      <c r="I28" s="5"/>
      <c r="J28" s="5"/>
      <c r="K28" s="5"/>
      <c r="L28" s="5"/>
      <c r="M28" s="5"/>
    </row>
    <row r="29" spans="1:13" x14ac:dyDescent="0.3">
      <c r="A29" s="1"/>
      <c r="B29" s="1"/>
      <c r="C29" s="1"/>
      <c r="D29" s="1"/>
      <c r="E29" s="1"/>
      <c r="F29" s="1"/>
      <c r="G29" s="1"/>
      <c r="H29" s="1"/>
      <c r="I29" s="1"/>
      <c r="J29" s="1"/>
      <c r="K29" s="1"/>
      <c r="L29" s="5"/>
      <c r="M29" s="5"/>
    </row>
    <row r="30" spans="1:13" x14ac:dyDescent="0.3">
      <c r="A30" s="2" t="s">
        <v>24</v>
      </c>
      <c r="B30" s="1"/>
      <c r="C30" s="1"/>
      <c r="D30" s="1"/>
      <c r="E30" s="1"/>
      <c r="F30" s="1"/>
      <c r="G30" s="1"/>
      <c r="H30" s="1"/>
      <c r="I30" s="1"/>
      <c r="J30" s="1"/>
      <c r="K30" s="1"/>
      <c r="L30" s="5"/>
      <c r="M30" s="5"/>
    </row>
    <row r="31" spans="1:13" x14ac:dyDescent="0.3">
      <c r="A31" s="113">
        <v>10000</v>
      </c>
      <c r="B31" s="113"/>
      <c r="C31" s="1" t="s">
        <v>25</v>
      </c>
      <c r="D31" s="1"/>
      <c r="E31" s="1"/>
      <c r="F31" s="1"/>
      <c r="G31" s="1"/>
      <c r="H31" s="1"/>
      <c r="I31" s="1"/>
      <c r="J31" s="1"/>
      <c r="K31" s="1"/>
      <c r="L31" s="5"/>
      <c r="M31" s="5"/>
    </row>
    <row r="32" spans="1:13" x14ac:dyDescent="0.3">
      <c r="A32" s="1"/>
      <c r="B32" s="1"/>
      <c r="C32" s="1"/>
      <c r="D32" s="1"/>
      <c r="E32" s="1"/>
      <c r="F32" s="1"/>
      <c r="G32" s="1"/>
      <c r="H32" s="1"/>
      <c r="I32" s="1"/>
      <c r="J32" s="1"/>
      <c r="K32" s="1"/>
      <c r="L32" s="5"/>
      <c r="M32" s="5"/>
    </row>
    <row r="33" spans="1:13" ht="15" thickBot="1" x14ac:dyDescent="0.35">
      <c r="A33" s="18"/>
      <c r="B33" s="18"/>
      <c r="C33" s="18"/>
      <c r="D33" s="18"/>
      <c r="E33" s="18"/>
      <c r="F33" s="18"/>
      <c r="G33" s="18"/>
      <c r="H33" s="18"/>
      <c r="I33" s="18"/>
      <c r="J33" s="18"/>
      <c r="K33" s="1"/>
      <c r="L33" s="5"/>
      <c r="M33" s="5"/>
    </row>
    <row r="34" spans="1:13" ht="14.4" customHeight="1" thickTop="1" x14ac:dyDescent="0.3">
      <c r="A34" s="101" t="s">
        <v>19</v>
      </c>
      <c r="B34" s="102"/>
      <c r="C34" s="94" t="s">
        <v>20</v>
      </c>
      <c r="D34" s="94"/>
      <c r="E34" s="102" t="s">
        <v>21</v>
      </c>
      <c r="F34" s="102" t="s">
        <v>22</v>
      </c>
      <c r="G34" s="94" t="s">
        <v>23</v>
      </c>
      <c r="H34" s="94"/>
      <c r="I34" s="94" t="s">
        <v>45</v>
      </c>
      <c r="J34" s="94"/>
      <c r="K34" s="23"/>
      <c r="L34" s="5"/>
      <c r="M34" s="5"/>
    </row>
    <row r="35" spans="1:13" x14ac:dyDescent="0.3">
      <c r="A35" s="103"/>
      <c r="B35" s="104"/>
      <c r="C35" s="94"/>
      <c r="D35" s="94"/>
      <c r="E35" s="94"/>
      <c r="F35" s="94"/>
      <c r="G35" s="94"/>
      <c r="H35" s="94"/>
      <c r="I35" s="94"/>
      <c r="J35" s="94"/>
      <c r="K35" s="23"/>
      <c r="L35" s="5"/>
      <c r="M35" s="5"/>
    </row>
    <row r="36" spans="1:13" x14ac:dyDescent="0.3">
      <c r="A36" s="24">
        <f>IF($A$7&gt;0,1,"")</f>
        <v>1</v>
      </c>
      <c r="B36" s="11"/>
      <c r="C36" s="12">
        <f>C22*C20</f>
        <v>15000</v>
      </c>
      <c r="D36" s="12"/>
      <c r="E36" s="13">
        <f>IF($A$7&gt;0,$A$31,"")</f>
        <v>10000</v>
      </c>
      <c r="F36" s="13">
        <f>IF($A$7&gt;0,C36+E36,"")</f>
        <v>25000</v>
      </c>
      <c r="G36" s="13">
        <f>IF($A$7&gt;0,C21,"")</f>
        <v>75000</v>
      </c>
      <c r="H36" s="13"/>
      <c r="I36" s="14">
        <f>IF($A$7&gt;0,IF(G36-F36&gt;0,(G36-F36),""))</f>
        <v>50000</v>
      </c>
      <c r="J36" s="13"/>
      <c r="K36" s="23"/>
      <c r="L36" s="5"/>
      <c r="M36" s="5"/>
    </row>
    <row r="37" spans="1:13" x14ac:dyDescent="0.3">
      <c r="A37" s="24">
        <f>IF($A$7&gt;1,A36+1,"")</f>
        <v>2</v>
      </c>
      <c r="B37" s="11"/>
      <c r="C37" s="12">
        <f>IF($A$7&gt;1,D22*D20,"")</f>
        <v>30600</v>
      </c>
      <c r="D37" s="12"/>
      <c r="E37" s="13">
        <f>IF($A$7&gt;1,$A$31,"")</f>
        <v>10000</v>
      </c>
      <c r="F37" s="13">
        <f>IF($A$7&gt;1,C37+E37,"")</f>
        <v>40600</v>
      </c>
      <c r="G37" s="13">
        <f>IF($A$7&gt;1,D21,"")</f>
        <v>76500</v>
      </c>
      <c r="H37" s="13"/>
      <c r="I37" s="14">
        <f>IF($A$7&gt;1,IF(G37-F37&gt;0,(G37-F37),"."),"")</f>
        <v>35900</v>
      </c>
      <c r="J37" s="13"/>
      <c r="K37" s="23"/>
      <c r="L37" s="5"/>
      <c r="M37" s="5"/>
    </row>
    <row r="38" spans="1:13" x14ac:dyDescent="0.3">
      <c r="A38" s="24">
        <f>IF($A$7&gt;2,A37+1,"")</f>
        <v>3</v>
      </c>
      <c r="B38" s="11"/>
      <c r="C38" s="12">
        <f>IF($A$7&gt;2,E20*E22,"")</f>
        <v>46818.000000000007</v>
      </c>
      <c r="D38" s="12"/>
      <c r="E38" s="13">
        <f>IF($A$7&gt;2,$A$31,"")</f>
        <v>10000</v>
      </c>
      <c r="F38" s="13">
        <f>IF($A$7&gt;2,C38+E38,"")</f>
        <v>56818.000000000007</v>
      </c>
      <c r="G38" s="13">
        <f>IF($A$7&gt;2,E21,"")</f>
        <v>78030</v>
      </c>
      <c r="H38" s="13"/>
      <c r="I38" s="14">
        <f>IF($A$7&gt;2,IF(G38-F38&gt;0,(G38-F38),"."),"")</f>
        <v>21211.999999999993</v>
      </c>
      <c r="J38" s="13"/>
      <c r="K38" s="23"/>
      <c r="L38" s="5"/>
      <c r="M38" s="5"/>
    </row>
    <row r="39" spans="1:13" x14ac:dyDescent="0.3">
      <c r="A39" s="24">
        <f>IF($A$7&gt;3,A38+1,"")</f>
        <v>4</v>
      </c>
      <c r="B39" s="11"/>
      <c r="C39" s="12">
        <f>IF($A$7&gt;3,F20*F22,"")</f>
        <v>63672.48000000001</v>
      </c>
      <c r="D39" s="12"/>
      <c r="E39" s="13">
        <f>IF($A$7&gt;3,$A$31,"")</f>
        <v>10000</v>
      </c>
      <c r="F39" s="13">
        <f>IF($A$7&gt;3,C39+E39,"")</f>
        <v>73672.48000000001</v>
      </c>
      <c r="G39" s="13">
        <f>IF($A$7&gt;3,F21,"")</f>
        <v>79590.600000000006</v>
      </c>
      <c r="H39" s="13"/>
      <c r="I39" s="14">
        <f t="shared" ref="I39" si="0">IF($A$7&gt;3,IF(G39-F39&gt;0,(G39-F39),"."),"")</f>
        <v>5918.1199999999953</v>
      </c>
      <c r="J39" s="13"/>
      <c r="K39" s="23"/>
      <c r="L39" s="5"/>
      <c r="M39" s="5"/>
    </row>
    <row r="40" spans="1:13" x14ac:dyDescent="0.3">
      <c r="A40" s="24">
        <f>IF($A$7&gt;4,A39+1,"")</f>
        <v>5</v>
      </c>
      <c r="B40" s="11"/>
      <c r="C40" s="13">
        <f>IF($A$7&gt;4,G20*G22,"")</f>
        <v>81182.412000000011</v>
      </c>
      <c r="D40" s="13"/>
      <c r="E40" s="13">
        <f>IF($A$7&gt;4,$A$31,"")</f>
        <v>10000</v>
      </c>
      <c r="F40" s="13">
        <f>IF($A$7&gt;4,C40+E40,"")</f>
        <v>91182.412000000011</v>
      </c>
      <c r="G40" s="13">
        <f>IF($A$7&gt;4,G21,"")</f>
        <v>81182.412000000011</v>
      </c>
      <c r="H40" s="13"/>
      <c r="I40" s="14" t="str">
        <f>IF($A$7&gt;4,IF(G40-F40&gt;0,(G40-F40),""),"")</f>
        <v/>
      </c>
      <c r="J40" s="13"/>
      <c r="K40" s="23"/>
      <c r="L40" s="5"/>
      <c r="M40" s="5"/>
    </row>
    <row r="41" spans="1:13" x14ac:dyDescent="0.3">
      <c r="A41" s="24">
        <f t="shared" ref="A41:A45" si="1">IF($A$7&gt;4,A40+1,"")</f>
        <v>6</v>
      </c>
      <c r="B41" s="11"/>
      <c r="C41" s="13">
        <f>IF($A$7&gt;5,H20*H22,"")</f>
        <v>99367.272288000007</v>
      </c>
      <c r="D41" s="13"/>
      <c r="E41" s="13">
        <f>IF($A$7&gt;5,$A$31,"")</f>
        <v>10000</v>
      </c>
      <c r="F41" s="13">
        <f>IF($A$7&gt;5,C41+E41,"")</f>
        <v>109367.27228800001</v>
      </c>
      <c r="G41" s="13">
        <f>IF($A$7&gt;5,H21,"")</f>
        <v>82806.060240000006</v>
      </c>
      <c r="H41" s="13"/>
      <c r="I41" s="14" t="str">
        <f>IF($A$7&gt;5,IF(G41-F41&gt;0,(G41-F41),"."),"")</f>
        <v>.</v>
      </c>
      <c r="J41" s="13"/>
      <c r="K41" s="23"/>
      <c r="L41" s="5"/>
      <c r="M41" s="5"/>
    </row>
    <row r="42" spans="1:13" x14ac:dyDescent="0.3">
      <c r="A42" s="24">
        <f t="shared" si="1"/>
        <v>7</v>
      </c>
      <c r="B42" s="11"/>
      <c r="C42" s="13">
        <f>IF($A$7&gt;6,I20*I22,"")</f>
        <v>118247.05402271998</v>
      </c>
      <c r="D42" s="13"/>
      <c r="E42" s="13">
        <f>IF($A$7&gt;6,$A$31,"")</f>
        <v>10000</v>
      </c>
      <c r="F42" s="13">
        <f>IF($A$7&gt;6,C42+E42,"")</f>
        <v>128247.05402271998</v>
      </c>
      <c r="G42" s="13">
        <f>IF($A$7&gt;6,I21,"")</f>
        <v>84462.181444799993</v>
      </c>
      <c r="H42" s="13"/>
      <c r="I42" s="14" t="str">
        <f>IF($A$7&gt;6,IF(G42-F42&gt;0,(G42-F42),"."),"")</f>
        <v>.</v>
      </c>
      <c r="J42" s="13"/>
      <c r="K42" s="23"/>
      <c r="L42" s="5"/>
      <c r="M42" s="5"/>
    </row>
    <row r="43" spans="1:13" x14ac:dyDescent="0.3">
      <c r="A43" s="24">
        <f t="shared" si="1"/>
        <v>8</v>
      </c>
      <c r="B43" s="11"/>
      <c r="C43" s="13">
        <f>IF($A$7&gt;7,J20*J22,"")</f>
        <v>137842.28011791361</v>
      </c>
      <c r="D43" s="13"/>
      <c r="E43" s="13">
        <f>IF($A$7&gt;7,$A$31,"")</f>
        <v>10000</v>
      </c>
      <c r="F43" s="13">
        <f>IF($A$7&gt;7,C43+E43,"")</f>
        <v>147842.28011791361</v>
      </c>
      <c r="G43" s="13">
        <f>IF($A$7&gt;7,J21,"")</f>
        <v>86151.425073696009</v>
      </c>
      <c r="H43" s="13"/>
      <c r="I43" s="14" t="str">
        <f>IF($A$7&gt;7,IF(G43-F43&gt;0,(G43-F43),"."),"")</f>
        <v>.</v>
      </c>
      <c r="J43" s="13"/>
      <c r="K43" s="23"/>
      <c r="L43" s="5"/>
      <c r="M43" s="5"/>
    </row>
    <row r="44" spans="1:13" x14ac:dyDescent="0.3">
      <c r="A44" s="24">
        <f t="shared" si="1"/>
        <v>9</v>
      </c>
      <c r="B44" s="11"/>
      <c r="C44" s="13">
        <f>IF($A$7&gt;8,K20*K22,"")</f>
        <v>158174.01643530585</v>
      </c>
      <c r="D44" s="13"/>
      <c r="E44" s="13">
        <f>IF($A$7&gt;8,$A$31,"")</f>
        <v>10000</v>
      </c>
      <c r="F44" s="13">
        <f>IF($A$7&gt;8,C44+E44,"")</f>
        <v>168174.01643530585</v>
      </c>
      <c r="G44" s="13">
        <f>IF($A$7&gt;8,K21,"")</f>
        <v>87874.45357516993</v>
      </c>
      <c r="H44" s="13"/>
      <c r="I44" s="14" t="str">
        <f>IF($A$7&gt;8,IF(G44-F44&gt;0,(G44-F44),"."),"")</f>
        <v>.</v>
      </c>
      <c r="J44" s="13"/>
      <c r="K44" s="23"/>
      <c r="L44" s="5"/>
      <c r="M44" s="5"/>
    </row>
    <row r="45" spans="1:13" x14ac:dyDescent="0.3">
      <c r="A45" s="24">
        <f t="shared" si="1"/>
        <v>10</v>
      </c>
      <c r="B45" s="11"/>
      <c r="C45" s="13">
        <f>IF($A$7&gt;9,L20*L22,"")</f>
        <v>179263.88529334663</v>
      </c>
      <c r="D45" s="13"/>
      <c r="E45" s="13">
        <f>IF($A$7&gt;9,$A$31,"")</f>
        <v>10000</v>
      </c>
      <c r="F45" s="13">
        <f>IF($A$7&gt;9,C45+E45,"")</f>
        <v>189263.88529334663</v>
      </c>
      <c r="G45" s="13">
        <f>IF($A$7&gt;9,L21,"")</f>
        <v>89631.942646673328</v>
      </c>
      <c r="H45" s="13"/>
      <c r="I45" s="14" t="str">
        <f>IF($A$7&gt;9,IF(G45-F45&gt;0,(G45-F45),"."),"")</f>
        <v>.</v>
      </c>
      <c r="J45" s="13"/>
      <c r="K45" s="23"/>
      <c r="L45" s="5"/>
      <c r="M45" s="5"/>
    </row>
    <row r="46" spans="1:13" ht="15" thickBot="1" x14ac:dyDescent="0.35">
      <c r="A46" s="77"/>
      <c r="B46" s="78" t="s">
        <v>56</v>
      </c>
      <c r="C46" s="79">
        <f>SUM(C36:C45)</f>
        <v>930167.40015728609</v>
      </c>
      <c r="D46" s="79"/>
      <c r="E46" s="79">
        <f t="shared" ref="E46:I46" si="2">SUM(E36:E45)</f>
        <v>100000</v>
      </c>
      <c r="F46" s="79">
        <f t="shared" si="2"/>
        <v>1030167.400157286</v>
      </c>
      <c r="G46" s="79">
        <f t="shared" si="2"/>
        <v>821229.07498033915</v>
      </c>
      <c r="H46" s="79"/>
      <c r="I46" s="79">
        <f t="shared" si="2"/>
        <v>113030.12</v>
      </c>
      <c r="J46" s="80"/>
      <c r="K46" s="5"/>
      <c r="L46" s="5"/>
      <c r="M46" s="5"/>
    </row>
    <row r="47" spans="1:13" ht="48" customHeight="1" x14ac:dyDescent="0.3">
      <c r="A47" s="105" t="s">
        <v>60</v>
      </c>
      <c r="B47" s="105"/>
      <c r="C47" s="105"/>
      <c r="D47" s="105"/>
      <c r="E47" s="105"/>
      <c r="F47" s="105"/>
      <c r="G47" s="105"/>
      <c r="H47" s="105"/>
      <c r="I47" s="105"/>
      <c r="J47" s="105"/>
      <c r="K47" s="5"/>
      <c r="L47" s="5"/>
      <c r="M47" s="5"/>
    </row>
    <row r="48" spans="1:13" x14ac:dyDescent="0.3">
      <c r="A48" s="25"/>
      <c r="B48" s="25"/>
      <c r="C48" s="25"/>
      <c r="D48" s="25"/>
      <c r="E48" s="25"/>
      <c r="F48" s="25"/>
    </row>
    <row r="49" spans="1:1" x14ac:dyDescent="0.3">
      <c r="A49" s="25"/>
    </row>
  </sheetData>
  <sheetProtection password="C94F" sheet="1" objects="1" scenarios="1" selectLockedCells="1"/>
  <mergeCells count="27">
    <mergeCell ref="A47:J47"/>
    <mergeCell ref="H8:J10"/>
    <mergeCell ref="A12:C12"/>
    <mergeCell ref="C13:D13"/>
    <mergeCell ref="A13:B13"/>
    <mergeCell ref="A9:B9"/>
    <mergeCell ref="A10:B10"/>
    <mergeCell ref="E10:F10"/>
    <mergeCell ref="A8:B8"/>
    <mergeCell ref="E8:F8"/>
    <mergeCell ref="E9:F9"/>
    <mergeCell ref="A11:B11"/>
    <mergeCell ref="E11:F11"/>
    <mergeCell ref="C10:D11"/>
    <mergeCell ref="I34:J35"/>
    <mergeCell ref="A31:B31"/>
    <mergeCell ref="G34:H35"/>
    <mergeCell ref="A4:C4"/>
    <mergeCell ref="A7:B7"/>
    <mergeCell ref="E7:F7"/>
    <mergeCell ref="G2:J4"/>
    <mergeCell ref="A1:F3"/>
    <mergeCell ref="B28:F28"/>
    <mergeCell ref="A34:B35"/>
    <mergeCell ref="C34:D35"/>
    <mergeCell ref="E34:E35"/>
    <mergeCell ref="F34:F35"/>
  </mergeCells>
  <phoneticPr fontId="0" type="noConversion"/>
  <pageMargins left="0.7" right="0.7" top="0.75" bottom="0.75" header="0.3" footer="0.3"/>
  <pageSetup scale="7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activeCell="D7" sqref="D7"/>
    </sheetView>
  </sheetViews>
  <sheetFormatPr defaultColWidth="9.109375" defaultRowHeight="15.6" x14ac:dyDescent="0.3"/>
  <cols>
    <col min="1" max="1" width="4.6640625" style="26" customWidth="1"/>
    <col min="2" max="2" width="15.5546875" style="26" customWidth="1"/>
    <col min="3" max="3" width="13.6640625" style="26" customWidth="1"/>
    <col min="4" max="4" width="10.88671875" style="26" customWidth="1"/>
    <col min="5" max="5" width="5.109375" style="26" customWidth="1"/>
    <col min="6" max="6" width="17.44140625" style="26" customWidth="1"/>
    <col min="7" max="7" width="13.33203125" style="26" customWidth="1"/>
    <col min="8" max="8" width="5.88671875" style="26" customWidth="1"/>
    <col min="9" max="16384" width="9.109375" style="26"/>
  </cols>
  <sheetData>
    <row r="1" spans="1:8" ht="18" x14ac:dyDescent="0.35">
      <c r="A1" s="31"/>
      <c r="B1" s="31"/>
      <c r="C1" s="31"/>
      <c r="D1" s="31"/>
      <c r="E1" s="31"/>
      <c r="F1" s="31"/>
      <c r="G1" s="31"/>
      <c r="H1" s="31"/>
    </row>
    <row r="2" spans="1:8" ht="18.600000000000001" thickBot="1" x14ac:dyDescent="0.4">
      <c r="A2" s="31"/>
      <c r="B2" s="31"/>
      <c r="C2" s="31"/>
      <c r="D2" s="31"/>
      <c r="E2" s="31"/>
      <c r="F2" s="31"/>
      <c r="G2" s="31"/>
      <c r="H2" s="31"/>
    </row>
    <row r="3" spans="1:8" ht="33" customHeight="1" x14ac:dyDescent="0.35">
      <c r="A3" s="31"/>
      <c r="B3" s="116" t="s">
        <v>26</v>
      </c>
      <c r="C3" s="120"/>
      <c r="D3" s="117"/>
      <c r="E3" s="32"/>
      <c r="F3" s="116" t="s">
        <v>27</v>
      </c>
      <c r="G3" s="117"/>
      <c r="H3" s="32"/>
    </row>
    <row r="4" spans="1:8" ht="24.75" customHeight="1" thickBot="1" x14ac:dyDescent="0.4">
      <c r="A4" s="31"/>
      <c r="B4" s="118"/>
      <c r="C4" s="121"/>
      <c r="D4" s="119"/>
      <c r="E4" s="32"/>
      <c r="F4" s="118"/>
      <c r="G4" s="119"/>
      <c r="H4" s="32"/>
    </row>
    <row r="5" spans="1:8" ht="18" x14ac:dyDescent="0.35">
      <c r="A5" s="31"/>
      <c r="B5" s="34"/>
      <c r="C5" s="34"/>
      <c r="D5" s="34"/>
      <c r="E5" s="32"/>
      <c r="F5" s="31"/>
      <c r="G5" s="31"/>
      <c r="H5" s="31"/>
    </row>
    <row r="6" spans="1:8" ht="18" x14ac:dyDescent="0.35">
      <c r="A6" s="31"/>
      <c r="B6" s="34" t="s">
        <v>28</v>
      </c>
      <c r="C6" s="122">
        <f>JuniorPartnership!E7</f>
        <v>750000</v>
      </c>
      <c r="D6" s="122"/>
      <c r="E6" s="32"/>
      <c r="F6" s="31"/>
      <c r="G6" s="31"/>
      <c r="H6" s="31"/>
    </row>
    <row r="7" spans="1:8" ht="15.75" customHeight="1" x14ac:dyDescent="0.35">
      <c r="A7" s="31"/>
      <c r="B7" s="52"/>
      <c r="C7" s="52"/>
      <c r="D7" s="53"/>
      <c r="E7" s="32"/>
      <c r="F7" s="124" t="s">
        <v>50</v>
      </c>
      <c r="G7" s="124"/>
      <c r="H7" s="31"/>
    </row>
    <row r="8" spans="1:8" ht="18.75" customHeight="1" x14ac:dyDescent="0.35">
      <c r="A8" s="31"/>
      <c r="B8" s="123" t="s">
        <v>48</v>
      </c>
      <c r="C8" s="123"/>
      <c r="D8" s="126">
        <v>0.06</v>
      </c>
      <c r="E8" s="31"/>
      <c r="F8" s="124"/>
      <c r="G8" s="124"/>
      <c r="H8" s="31"/>
    </row>
    <row r="9" spans="1:8" ht="18" x14ac:dyDescent="0.35">
      <c r="A9" s="31"/>
      <c r="B9" s="123"/>
      <c r="C9" s="123"/>
      <c r="D9" s="126"/>
      <c r="E9" s="31"/>
      <c r="F9" s="127">
        <f>VLOOKUP(JuniorPartnership!A25,JuniorPartnership!A25:M25,JuniorPartnership!A7+3,FALSE)</f>
        <v>1533519.8247837317</v>
      </c>
      <c r="G9" s="127"/>
      <c r="H9" s="31"/>
    </row>
    <row r="10" spans="1:8" ht="18" x14ac:dyDescent="0.35">
      <c r="A10" s="31"/>
      <c r="B10" s="54"/>
      <c r="C10" s="54"/>
      <c r="D10" s="55"/>
      <c r="E10" s="31"/>
      <c r="F10" s="56"/>
      <c r="G10" s="56"/>
      <c r="H10" s="31"/>
    </row>
    <row r="11" spans="1:8" ht="18.600000000000001" customHeight="1" x14ac:dyDescent="0.35">
      <c r="A11" s="31"/>
      <c r="B11" s="57">
        <f>JuniorPartnership!A7</f>
        <v>10</v>
      </c>
      <c r="C11" s="128" t="s">
        <v>29</v>
      </c>
      <c r="D11" s="128"/>
      <c r="E11" s="31"/>
      <c r="F11" s="125" t="s">
        <v>49</v>
      </c>
      <c r="G11" s="125"/>
      <c r="H11" s="58"/>
    </row>
    <row r="12" spans="1:8" ht="18" x14ac:dyDescent="0.35">
      <c r="A12" s="31"/>
      <c r="B12" s="34"/>
      <c r="C12" s="128"/>
      <c r="D12" s="128"/>
      <c r="E12" s="32"/>
      <c r="F12" s="125"/>
      <c r="G12" s="125"/>
      <c r="H12" s="58"/>
    </row>
    <row r="13" spans="1:8" ht="18" x14ac:dyDescent="0.35">
      <c r="A13" s="31"/>
      <c r="B13" s="34"/>
      <c r="C13" s="127">
        <f>C6*(1+D8)^B11</f>
        <v>1343135.772407141</v>
      </c>
      <c r="D13" s="127"/>
      <c r="E13" s="32"/>
      <c r="F13" s="127">
        <f>VLOOKUP(JuniorPartnership!A24,JuniorPartnership!A24:M24,JuniorPartnership!A7+3,FALSE)</f>
        <v>712290.74980339257</v>
      </c>
      <c r="G13" s="127"/>
      <c r="H13" s="32"/>
    </row>
    <row r="14" spans="1:8" ht="18" x14ac:dyDescent="0.35">
      <c r="A14" s="31"/>
      <c r="B14" s="34"/>
      <c r="C14" s="34"/>
      <c r="D14" s="34"/>
      <c r="E14" s="32"/>
      <c r="F14" s="32"/>
      <c r="G14" s="32"/>
      <c r="H14" s="32"/>
    </row>
    <row r="15" spans="1:8" ht="18" x14ac:dyDescent="0.35">
      <c r="A15" s="31"/>
      <c r="B15" s="34"/>
      <c r="C15" s="34"/>
      <c r="D15" s="34"/>
      <c r="E15" s="32"/>
      <c r="F15" s="32"/>
      <c r="G15" s="32"/>
      <c r="H15" s="32"/>
    </row>
    <row r="16" spans="1:8" ht="32.25" customHeight="1" x14ac:dyDescent="0.35">
      <c r="A16" s="59"/>
      <c r="B16" s="59"/>
      <c r="C16" s="59"/>
      <c r="D16" s="114" t="s">
        <v>30</v>
      </c>
      <c r="E16" s="114"/>
      <c r="F16" s="114"/>
      <c r="G16" s="36"/>
      <c r="H16" s="36"/>
    </row>
    <row r="17" spans="1:8" ht="18" x14ac:dyDescent="0.35">
      <c r="A17" s="59"/>
      <c r="B17" s="59"/>
      <c r="C17" s="59"/>
      <c r="D17" s="115">
        <f>F9+F13-C13</f>
        <v>902674.80217998335</v>
      </c>
      <c r="E17" s="115"/>
      <c r="F17" s="115"/>
      <c r="G17" s="36"/>
      <c r="H17" s="36"/>
    </row>
    <row r="18" spans="1:8" ht="18" x14ac:dyDescent="0.35">
      <c r="A18" s="59"/>
      <c r="B18" s="59"/>
      <c r="C18" s="59"/>
      <c r="D18" s="36"/>
      <c r="E18" s="36"/>
      <c r="F18" s="36"/>
      <c r="G18" s="36"/>
      <c r="H18" s="36"/>
    </row>
  </sheetData>
  <sheetProtection password="C94F" sheet="1" objects="1" scenarios="1" selectLockedCells="1"/>
  <mergeCells count="13">
    <mergeCell ref="D16:F16"/>
    <mergeCell ref="D17:F17"/>
    <mergeCell ref="F3:G4"/>
    <mergeCell ref="B3:D4"/>
    <mergeCell ref="C6:D6"/>
    <mergeCell ref="B8:C9"/>
    <mergeCell ref="F7:G8"/>
    <mergeCell ref="F11:G12"/>
    <mergeCell ref="D8:D9"/>
    <mergeCell ref="F13:G13"/>
    <mergeCell ref="F9:G9"/>
    <mergeCell ref="C13:D13"/>
    <mergeCell ref="C11:D12"/>
  </mergeCells>
  <phoneticPr fontId="0"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tabSelected="1" workbookViewId="0">
      <selection activeCell="C6" sqref="C6:C7"/>
    </sheetView>
  </sheetViews>
  <sheetFormatPr defaultRowHeight="14.4" x14ac:dyDescent="0.3"/>
  <cols>
    <col min="1" max="1" width="13" customWidth="1"/>
    <col min="2" max="2" width="11" bestFit="1" customWidth="1"/>
    <col min="3" max="3" width="13.6640625" bestFit="1" customWidth="1"/>
    <col min="4" max="4" width="14.88671875" bestFit="1" customWidth="1"/>
    <col min="5" max="5" width="15.6640625" bestFit="1" customWidth="1"/>
    <col min="6" max="6" width="11.109375" bestFit="1" customWidth="1"/>
    <col min="7" max="7" width="21.33203125" customWidth="1"/>
    <col min="8" max="8" width="13.33203125" bestFit="1" customWidth="1"/>
    <col min="9" max="9" width="11.77734375" bestFit="1" customWidth="1"/>
    <col min="10" max="10" width="12.33203125" customWidth="1"/>
    <col min="11" max="11" width="13.6640625" customWidth="1"/>
    <col min="12" max="12" width="14.88671875" customWidth="1"/>
    <col min="13" max="13" width="14.44140625" bestFit="1" customWidth="1"/>
    <col min="14" max="14" width="16.44140625" customWidth="1"/>
    <col min="15" max="15" width="16.5546875" bestFit="1" customWidth="1"/>
    <col min="16" max="16" width="9.44140625" customWidth="1"/>
  </cols>
  <sheetData>
    <row r="1" spans="1:16" ht="18" x14ac:dyDescent="0.35">
      <c r="A1" s="31"/>
      <c r="B1" s="31"/>
      <c r="C1" s="31"/>
      <c r="D1" s="31"/>
      <c r="E1" s="40"/>
      <c r="F1" s="42"/>
      <c r="G1" s="42"/>
      <c r="H1" s="42"/>
      <c r="I1" s="42"/>
      <c r="J1" s="42"/>
      <c r="K1" s="42"/>
      <c r="L1" s="42"/>
      <c r="M1" s="42"/>
      <c r="N1" s="42"/>
      <c r="O1" s="42"/>
      <c r="P1" s="42"/>
    </row>
    <row r="2" spans="1:16" ht="18" x14ac:dyDescent="0.35">
      <c r="A2" s="32"/>
      <c r="B2" s="129" t="s">
        <v>31</v>
      </c>
      <c r="C2" s="130"/>
      <c r="D2" s="131"/>
      <c r="E2" s="38"/>
      <c r="F2" s="43"/>
      <c r="G2" s="135" t="s">
        <v>32</v>
      </c>
      <c r="H2" s="136"/>
      <c r="I2" s="137"/>
      <c r="J2" s="44"/>
      <c r="K2" s="44"/>
      <c r="L2" s="44"/>
      <c r="M2" s="44"/>
      <c r="N2" s="44"/>
      <c r="O2" s="44"/>
      <c r="P2" s="44"/>
    </row>
    <row r="3" spans="1:16" ht="19.2" customHeight="1" x14ac:dyDescent="0.35">
      <c r="A3" s="32"/>
      <c r="B3" s="132"/>
      <c r="C3" s="133"/>
      <c r="D3" s="134"/>
      <c r="E3" s="38"/>
      <c r="F3" s="43"/>
      <c r="G3" s="138"/>
      <c r="H3" s="139"/>
      <c r="I3" s="140"/>
      <c r="J3" s="44"/>
      <c r="K3" s="44"/>
      <c r="L3" s="44"/>
      <c r="M3" s="44"/>
      <c r="N3" s="44"/>
      <c r="O3" s="44"/>
      <c r="P3" s="44"/>
    </row>
    <row r="4" spans="1:16" ht="18" x14ac:dyDescent="0.35">
      <c r="A4" s="32"/>
      <c r="B4" s="32"/>
      <c r="C4" s="32"/>
      <c r="D4" s="32"/>
      <c r="E4" s="38"/>
      <c r="F4" s="43"/>
      <c r="G4" s="44"/>
      <c r="H4" s="44"/>
      <c r="I4" s="44"/>
      <c r="J4" s="44"/>
      <c r="K4" s="44"/>
      <c r="L4" s="44"/>
      <c r="M4" s="44"/>
      <c r="N4" s="44"/>
      <c r="O4" s="44"/>
      <c r="P4" s="44"/>
    </row>
    <row r="5" spans="1:16" ht="18" x14ac:dyDescent="0.35">
      <c r="A5" s="32"/>
      <c r="B5" s="32"/>
      <c r="C5" s="32"/>
      <c r="D5" s="32"/>
      <c r="E5" s="38"/>
      <c r="F5" s="43"/>
      <c r="G5" s="146" t="s">
        <v>39</v>
      </c>
      <c r="H5" s="146"/>
      <c r="I5" s="44"/>
      <c r="J5" s="44"/>
      <c r="K5" s="44"/>
      <c r="L5" s="44"/>
      <c r="M5" s="44"/>
      <c r="N5" s="44"/>
      <c r="O5" s="44"/>
      <c r="P5" s="44"/>
    </row>
    <row r="6" spans="1:16" ht="18" x14ac:dyDescent="0.35">
      <c r="A6" s="141" t="s">
        <v>33</v>
      </c>
      <c r="B6" s="141"/>
      <c r="C6" s="143">
        <v>95000</v>
      </c>
      <c r="D6" s="32"/>
      <c r="E6" s="38"/>
      <c r="F6" s="43"/>
      <c r="G6" s="146"/>
      <c r="H6" s="146"/>
      <c r="I6" s="44"/>
      <c r="J6" s="44"/>
      <c r="K6" s="44"/>
      <c r="L6" s="44"/>
      <c r="M6" s="44"/>
      <c r="N6" s="44"/>
      <c r="O6" s="44"/>
      <c r="P6" s="44"/>
    </row>
    <row r="7" spans="1:16" ht="18" x14ac:dyDescent="0.35">
      <c r="A7" s="141"/>
      <c r="B7" s="141"/>
      <c r="C7" s="143"/>
      <c r="D7" s="32"/>
      <c r="E7" s="38"/>
      <c r="F7" s="43"/>
      <c r="G7" s="144">
        <v>85000</v>
      </c>
      <c r="H7" s="144"/>
      <c r="I7" s="44"/>
      <c r="J7" s="44"/>
      <c r="K7" s="44"/>
      <c r="L7" s="44"/>
      <c r="M7" s="44"/>
      <c r="N7" s="44"/>
      <c r="O7" s="44"/>
      <c r="P7" s="44"/>
    </row>
    <row r="8" spans="1:16" ht="18" x14ac:dyDescent="0.35">
      <c r="A8" s="33"/>
      <c r="B8" s="33"/>
      <c r="C8" s="32"/>
      <c r="D8" s="32"/>
      <c r="E8" s="38"/>
      <c r="F8" s="43"/>
      <c r="G8" s="44"/>
      <c r="H8" s="44"/>
      <c r="I8" s="44"/>
      <c r="J8" s="44"/>
      <c r="K8" s="44"/>
      <c r="L8" s="44"/>
      <c r="M8" s="44"/>
      <c r="N8" s="44"/>
      <c r="O8" s="44"/>
      <c r="P8" s="44"/>
    </row>
    <row r="9" spans="1:16" ht="18" x14ac:dyDescent="0.35">
      <c r="A9" s="141" t="s">
        <v>40</v>
      </c>
      <c r="B9" s="141"/>
      <c r="C9" s="142">
        <v>0.03</v>
      </c>
      <c r="D9" s="32"/>
      <c r="E9" s="38"/>
      <c r="F9" s="43"/>
      <c r="G9" s="45" t="s">
        <v>40</v>
      </c>
      <c r="H9" s="45"/>
      <c r="I9" s="45"/>
      <c r="J9" s="45"/>
      <c r="K9" s="45"/>
      <c r="L9" s="45"/>
      <c r="M9" s="45"/>
      <c r="N9" s="45"/>
      <c r="O9" s="45"/>
      <c r="P9" s="45"/>
    </row>
    <row r="10" spans="1:16" ht="18" x14ac:dyDescent="0.35">
      <c r="A10" s="141"/>
      <c r="B10" s="141"/>
      <c r="C10" s="142"/>
      <c r="D10" s="32"/>
      <c r="E10" s="38"/>
      <c r="F10" s="43"/>
      <c r="G10" s="145">
        <v>0.03</v>
      </c>
      <c r="H10" s="145"/>
      <c r="I10" s="44"/>
      <c r="J10" s="44"/>
      <c r="K10" s="44"/>
      <c r="L10" s="44"/>
      <c r="M10" s="44"/>
      <c r="N10" s="44"/>
      <c r="O10" s="44"/>
      <c r="P10" s="44"/>
    </row>
    <row r="11" spans="1:16" ht="18" x14ac:dyDescent="0.35">
      <c r="A11" s="34"/>
      <c r="B11" s="34"/>
      <c r="C11" s="32"/>
      <c r="D11" s="32"/>
      <c r="E11" s="38"/>
      <c r="F11" s="43"/>
      <c r="G11" s="44"/>
      <c r="H11" s="44"/>
      <c r="I11" s="44"/>
      <c r="J11" s="44"/>
      <c r="K11" s="44"/>
      <c r="L11" s="44"/>
      <c r="M11" s="44"/>
      <c r="N11" s="44"/>
      <c r="O11" s="44"/>
      <c r="P11" s="44"/>
    </row>
    <row r="12" spans="1:16" ht="18" x14ac:dyDescent="0.35">
      <c r="A12" s="150" t="s">
        <v>34</v>
      </c>
      <c r="B12" s="150"/>
      <c r="C12" s="142">
        <v>0.3</v>
      </c>
      <c r="D12" s="32"/>
      <c r="E12" s="38"/>
      <c r="F12" s="43"/>
      <c r="G12" s="45" t="s">
        <v>34</v>
      </c>
      <c r="H12" s="46"/>
      <c r="I12" s="44"/>
      <c r="J12" s="44"/>
      <c r="K12" s="44"/>
      <c r="L12" s="44"/>
      <c r="M12" s="44"/>
      <c r="N12" s="44"/>
      <c r="O12" s="44"/>
      <c r="P12" s="44"/>
    </row>
    <row r="13" spans="1:16" ht="18" x14ac:dyDescent="0.35">
      <c r="A13" s="35"/>
      <c r="B13" s="35"/>
      <c r="C13" s="142"/>
      <c r="D13" s="32"/>
      <c r="E13" s="38"/>
      <c r="F13" s="43"/>
      <c r="G13" s="145">
        <v>0.3</v>
      </c>
      <c r="H13" s="145"/>
      <c r="I13" s="44"/>
      <c r="J13" s="44"/>
      <c r="K13" s="44"/>
      <c r="L13" s="44"/>
      <c r="M13" s="44"/>
      <c r="N13" s="44"/>
      <c r="O13" s="44"/>
      <c r="P13" s="44"/>
    </row>
    <row r="14" spans="1:16" s="87" customFormat="1" ht="46.8" x14ac:dyDescent="0.3">
      <c r="A14" s="81"/>
      <c r="B14" s="81" t="s">
        <v>36</v>
      </c>
      <c r="C14" s="82" t="s">
        <v>35</v>
      </c>
      <c r="D14" s="82" t="s">
        <v>37</v>
      </c>
      <c r="E14" s="83" t="s">
        <v>38</v>
      </c>
      <c r="F14" s="84" t="s">
        <v>36</v>
      </c>
      <c r="G14" s="85" t="s">
        <v>44</v>
      </c>
      <c r="H14" s="85" t="s">
        <v>52</v>
      </c>
      <c r="I14" s="85" t="s">
        <v>43</v>
      </c>
      <c r="J14" s="85" t="s">
        <v>53</v>
      </c>
      <c r="K14" s="85" t="s">
        <v>35</v>
      </c>
      <c r="L14" s="85" t="s">
        <v>54</v>
      </c>
      <c r="M14" s="85" t="s">
        <v>55</v>
      </c>
      <c r="N14" s="85" t="s">
        <v>46</v>
      </c>
      <c r="O14" s="85" t="s">
        <v>41</v>
      </c>
      <c r="P14" s="86"/>
    </row>
    <row r="15" spans="1:16" s="26" customFormat="1" ht="15.6" x14ac:dyDescent="0.3">
      <c r="A15" s="88" t="str">
        <f>IF(JuniorPartnership!$A$7&gt;0,"Year 1","")</f>
        <v>Year 1</v>
      </c>
      <c r="B15" s="90">
        <f>IF(JuniorPartnership!$A$7&gt;0,C6,"")</f>
        <v>95000</v>
      </c>
      <c r="C15" s="90">
        <f>IF(JuniorPartnership!$A$7&gt;0,$C$12*B15,"")</f>
        <v>28500</v>
      </c>
      <c r="D15" s="90">
        <f>IF(JuniorPartnership!$A$7&gt;0,B15-C15,"")</f>
        <v>66500</v>
      </c>
      <c r="E15" s="91">
        <f>IF(JuniorPartnership!$A$7&gt;0,D15,"")</f>
        <v>66500</v>
      </c>
      <c r="F15" s="92">
        <f>G7</f>
        <v>85000</v>
      </c>
      <c r="G15" s="90">
        <f>JuniorPartnership!C22*JuniorPartnership!C20</f>
        <v>15000</v>
      </c>
      <c r="H15" s="90">
        <f>SUM(F15:G15)</f>
        <v>100000</v>
      </c>
      <c r="I15" s="90">
        <f>JuniorPartnership!C21</f>
        <v>75000</v>
      </c>
      <c r="J15" s="93">
        <f>H15-I15</f>
        <v>25000</v>
      </c>
      <c r="K15" s="90">
        <f>J15*$G$13</f>
        <v>7500</v>
      </c>
      <c r="L15" s="93">
        <f>J15-K15</f>
        <v>17500</v>
      </c>
      <c r="M15" s="93">
        <f>L15</f>
        <v>17500</v>
      </c>
      <c r="N15" s="90">
        <f>JuniorPartnership!C20*JuniorPartnership!C19</f>
        <v>75000</v>
      </c>
      <c r="O15" s="90">
        <f>N15+M15</f>
        <v>92500</v>
      </c>
      <c r="P15" s="89" t="str">
        <f>IF(JuniorPartnership!$A$7&gt;0,"Year 1","")</f>
        <v>Year 1</v>
      </c>
    </row>
    <row r="16" spans="1:16" s="26" customFormat="1" ht="15.6" x14ac:dyDescent="0.3">
      <c r="A16" s="88" t="str">
        <f>IF(JuniorPartnership!$A$7&gt;1,"Year 2","")</f>
        <v>Year 2</v>
      </c>
      <c r="B16" s="90">
        <f>IF(JuniorPartnership!$A$7&gt;1,B15*(1+$C$9),"")</f>
        <v>97850</v>
      </c>
      <c r="C16" s="90">
        <f>IF(JuniorPartnership!$A$7&gt;1,$C$12*B16,"")</f>
        <v>29355</v>
      </c>
      <c r="D16" s="90">
        <f>IF(JuniorPartnership!$A$7&gt;1,B16-C16,"")</f>
        <v>68495</v>
      </c>
      <c r="E16" s="91">
        <f>IF(JuniorPartnership!$A$7&gt;1,D16+E15,"")</f>
        <v>134995</v>
      </c>
      <c r="F16" s="92">
        <f>IF(JuniorPartnership!$A$7&gt;1,F15*(1+$G$10),"")</f>
        <v>87550</v>
      </c>
      <c r="G16" s="90">
        <f>IF(JuniorPartnership!$A$7&gt;1,JuniorPartnership!D20*JuniorPartnership!D22,"")</f>
        <v>30600</v>
      </c>
      <c r="H16" s="90">
        <f>IF(JuniorPartnership!$A$7&gt;1,SUM(F16:G16),"")</f>
        <v>118150</v>
      </c>
      <c r="I16" s="90">
        <f>IF(JuniorPartnership!$A$7&gt;1,JuniorPartnership!D21,"")</f>
        <v>76500</v>
      </c>
      <c r="J16" s="93">
        <f>IF(JuniorPartnership!$A$7&gt;1,H16-I16,"")</f>
        <v>41650</v>
      </c>
      <c r="K16" s="90">
        <f>IF(JuniorPartnership!$A$7&gt;1,J16*$G$13,"")</f>
        <v>12495</v>
      </c>
      <c r="L16" s="93">
        <f>IF(JuniorPartnership!$A$7&gt;1,J16-K16,"")</f>
        <v>29155</v>
      </c>
      <c r="M16" s="93">
        <f>IF(JuniorPartnership!$A$7&gt;1,L16+M15,"")</f>
        <v>46655</v>
      </c>
      <c r="N16" s="90">
        <f>IF(JuniorPartnership!$A$7&gt;1,JuniorPartnership!D20*JuniorPartnership!D19,"")</f>
        <v>153000</v>
      </c>
      <c r="O16" s="90">
        <f>IF(JuniorPartnership!$A$7&gt;1,N16+M16,"")</f>
        <v>199655</v>
      </c>
      <c r="P16" s="89" t="str">
        <f>IF(JuniorPartnership!$A$7&gt;1,"Year 2","")</f>
        <v>Year 2</v>
      </c>
    </row>
    <row r="17" spans="1:16" s="26" customFormat="1" ht="15.6" x14ac:dyDescent="0.3">
      <c r="A17" s="88" t="str">
        <f>IF(JuniorPartnership!$A$7&gt;2,"Year 3","")</f>
        <v>Year 3</v>
      </c>
      <c r="B17" s="90">
        <f>IF(JuniorPartnership!$A$7&gt;2,B16*(1+$C$9),"")</f>
        <v>100785.5</v>
      </c>
      <c r="C17" s="90">
        <f>IF(JuniorPartnership!$A$7&gt;2,$C$12*B17,"")</f>
        <v>30235.649999999998</v>
      </c>
      <c r="D17" s="90">
        <f>IF(JuniorPartnership!$A$7&gt;2,B17-C17,"")</f>
        <v>70549.850000000006</v>
      </c>
      <c r="E17" s="91">
        <f>IF(JuniorPartnership!$A$7&gt;2,D17+E16,"")</f>
        <v>205544.85</v>
      </c>
      <c r="F17" s="92">
        <f>IF(JuniorPartnership!$A$7&gt;2,F16*(1+$G$10),"")</f>
        <v>90176.5</v>
      </c>
      <c r="G17" s="90">
        <f>IF(JuniorPartnership!$A$7&gt;2,JuniorPartnership!E20*JuniorPartnership!E22,"")</f>
        <v>46818.000000000007</v>
      </c>
      <c r="H17" s="90">
        <f>IF(JuniorPartnership!$A$7&gt;2,SUM(F17:G17),"")</f>
        <v>136994.5</v>
      </c>
      <c r="I17" s="90">
        <f>IF(JuniorPartnership!$A$7&gt;2,JuniorPartnership!E21,"")</f>
        <v>78030</v>
      </c>
      <c r="J17" s="93">
        <f>IF(JuniorPartnership!$A$7&gt;2,H17-I17,"")</f>
        <v>58964.5</v>
      </c>
      <c r="K17" s="90">
        <f>IF(JuniorPartnership!$A$7&gt;2,J17*$G$13,"")</f>
        <v>17689.349999999999</v>
      </c>
      <c r="L17" s="93">
        <f>IF(JuniorPartnership!$A$7&gt;2,J17-K17,"")</f>
        <v>41275.15</v>
      </c>
      <c r="M17" s="93">
        <f>IF(JuniorPartnership!$A$7&gt;2,L17+M16,"")</f>
        <v>87930.15</v>
      </c>
      <c r="N17" s="90">
        <f>IF(JuniorPartnership!$A$7&gt;2,JuniorPartnership!E20*JuniorPartnership!E19,"")</f>
        <v>234090.00000000003</v>
      </c>
      <c r="O17" s="90">
        <f>IF(JuniorPartnership!$A$7&gt;2,N17+M17,"")</f>
        <v>322020.15000000002</v>
      </c>
      <c r="P17" s="89" t="str">
        <f>IF(JuniorPartnership!$A$7&gt;2,"Year 3","")</f>
        <v>Year 3</v>
      </c>
    </row>
    <row r="18" spans="1:16" s="26" customFormat="1" ht="15.6" x14ac:dyDescent="0.3">
      <c r="A18" s="88" t="str">
        <f>IF(JuniorPartnership!$A$7&gt;3,"Year 4","")</f>
        <v>Year 4</v>
      </c>
      <c r="B18" s="90">
        <f>IF(JuniorPartnership!$A$7&gt;3,B17*(1+$C$9),"")</f>
        <v>103809.065</v>
      </c>
      <c r="C18" s="90">
        <f>IF(JuniorPartnership!$A$7&gt;3,$C$12*B18,"")</f>
        <v>31142.719499999999</v>
      </c>
      <c r="D18" s="90">
        <f>IF(JuniorPartnership!$A$7&gt;3,B18-C18,"")</f>
        <v>72666.345499999996</v>
      </c>
      <c r="E18" s="91">
        <f>IF(JuniorPartnership!$A$7&gt;3,D18+E17,"")</f>
        <v>278211.19550000003</v>
      </c>
      <c r="F18" s="92">
        <f>IF(JuniorPartnership!$A$7&gt;3,F17*(1+$G$10),"")</f>
        <v>92881.794999999998</v>
      </c>
      <c r="G18" s="90">
        <f>IF(JuniorPartnership!$A$7&gt;3,JuniorPartnership!F20*JuniorPartnership!F22,"")</f>
        <v>63672.48000000001</v>
      </c>
      <c r="H18" s="90">
        <f>IF(JuniorPartnership!$A$7&gt;3,SUM(F18:G18),"")</f>
        <v>156554.27500000002</v>
      </c>
      <c r="I18" s="90">
        <f>IF(JuniorPartnership!$A$7&gt;3,JuniorPartnership!F21,"")</f>
        <v>79590.600000000006</v>
      </c>
      <c r="J18" s="93">
        <f>IF(JuniorPartnership!$A$7&gt;3,H18-I18,"")</f>
        <v>76963.675000000017</v>
      </c>
      <c r="K18" s="90">
        <f>IF(JuniorPartnership!$A$7&gt;3,J18*$G$13,"")</f>
        <v>23089.102500000005</v>
      </c>
      <c r="L18" s="93">
        <f>IF(JuniorPartnership!$A$7&gt;3,J18-K18,"")</f>
        <v>53874.572500000009</v>
      </c>
      <c r="M18" s="93">
        <f>IF(JuniorPartnership!$A$7&gt;3,L18+M17,"")</f>
        <v>141804.7225</v>
      </c>
      <c r="N18" s="90">
        <f>IF(JuniorPartnership!$A$7&gt;3,JuniorPartnership!F20*JuniorPartnership!F19,"")</f>
        <v>318362.40000000002</v>
      </c>
      <c r="O18" s="90">
        <f>IF(JuniorPartnership!$A$7&gt;3,N18+M18,"")</f>
        <v>460167.12250000006</v>
      </c>
      <c r="P18" s="89" t="str">
        <f>IF(JuniorPartnership!$A$7&gt;3,"Year 4","")</f>
        <v>Year 4</v>
      </c>
    </row>
    <row r="19" spans="1:16" s="26" customFormat="1" ht="15.6" x14ac:dyDescent="0.3">
      <c r="A19" s="88" t="str">
        <f>IF(JuniorPartnership!$A$7&gt;4,"Year 5","")</f>
        <v>Year 5</v>
      </c>
      <c r="B19" s="90">
        <f>IF(JuniorPartnership!$A$7&gt;4,B18*(1+$C$9),"")</f>
        <v>106923.33695000001</v>
      </c>
      <c r="C19" s="90">
        <f>IF(JuniorPartnership!$A$7&gt;4,$C$12*B19,"")</f>
        <v>32077.001085000004</v>
      </c>
      <c r="D19" s="90">
        <f>IF(JuniorPartnership!$A$7&gt;4,B19-C19,"")</f>
        <v>74846.335865000001</v>
      </c>
      <c r="E19" s="91">
        <f>IF(JuniorPartnership!$A$7&gt;4,D19+E18,"")</f>
        <v>353057.53136500006</v>
      </c>
      <c r="F19" s="92">
        <f>IF(JuniorPartnership!$A$7&gt;4,F18*(1+$G$10),"")</f>
        <v>95668.248850000004</v>
      </c>
      <c r="G19" s="90">
        <f>IF(JuniorPartnership!$A$7&gt;4,JuniorPartnership!G20*JuniorPartnership!G22,"")</f>
        <v>81182.412000000011</v>
      </c>
      <c r="H19" s="90">
        <f>IF(JuniorPartnership!$A$7&gt;4,SUM(F19:G19),"")</f>
        <v>176850.66085000001</v>
      </c>
      <c r="I19" s="90">
        <f>IF(JuniorPartnership!$A$7&gt;4,JuniorPartnership!G21,"")</f>
        <v>81182.412000000011</v>
      </c>
      <c r="J19" s="93">
        <f>IF(JuniorPartnership!$A$7&gt;4,H19-I19,"")</f>
        <v>95668.248850000004</v>
      </c>
      <c r="K19" s="90">
        <f>IF(JuniorPartnership!$A$7&gt;4,J19*$G$13,"")</f>
        <v>28700.474655000002</v>
      </c>
      <c r="L19" s="93">
        <f>IF(JuniorPartnership!$A$7&gt;4,J19-K19,"")</f>
        <v>66967.774195000005</v>
      </c>
      <c r="M19" s="93">
        <f>IF(JuniorPartnership!$A$7&gt;4,L19+M18,"")</f>
        <v>208772.49669500001</v>
      </c>
      <c r="N19" s="90">
        <f>IF(JuniorPartnership!$A$7&gt;4,JuniorPartnership!G19*JuniorPartnership!G20,"")</f>
        <v>405912.06</v>
      </c>
      <c r="O19" s="90">
        <f>IF(JuniorPartnership!$A$7&gt;4,N19+M19,"")</f>
        <v>614684.55669500004</v>
      </c>
      <c r="P19" s="89" t="str">
        <f>IF(JuniorPartnership!$A$7&gt;4,"Year 5","")</f>
        <v>Year 5</v>
      </c>
    </row>
    <row r="20" spans="1:16" s="26" customFormat="1" ht="15.6" x14ac:dyDescent="0.3">
      <c r="A20" s="88" t="str">
        <f>IF(JuniorPartnership!$A$7&gt;5,"Year 6","")</f>
        <v>Year 6</v>
      </c>
      <c r="B20" s="90">
        <f>IF(JuniorPartnership!$A$7&gt;5,B19*(1+$C$9),"")</f>
        <v>110131.03705850002</v>
      </c>
      <c r="C20" s="90">
        <f>IF(JuniorPartnership!$A$7&gt;5,$C$12*B20,"")</f>
        <v>33039.311117550002</v>
      </c>
      <c r="D20" s="90">
        <f>IF(JuniorPartnership!$A$7&gt;5,B20-C20,"")</f>
        <v>77091.725940950011</v>
      </c>
      <c r="E20" s="91">
        <f>IF(JuniorPartnership!$A$7&gt;5,D20+E19,"")</f>
        <v>430149.25730595004</v>
      </c>
      <c r="F20" s="92">
        <f>IF(JuniorPartnership!$A$7&gt;5,F19*(1+$G$10),"")</f>
        <v>98538.296315500003</v>
      </c>
      <c r="G20" s="90">
        <f>IF(JuniorPartnership!$A$7&gt;5,JuniorPartnership!H20*JuniorPartnership!H22,"")</f>
        <v>99367.272288000007</v>
      </c>
      <c r="H20" s="90">
        <f>IF(JuniorPartnership!$A$7&gt;5,SUM(F20:G20),"")</f>
        <v>197905.56860350003</v>
      </c>
      <c r="I20" s="90">
        <f>IF(JuniorPartnership!$A$7&gt;5,JuniorPartnership!H21,"")</f>
        <v>82806.060240000006</v>
      </c>
      <c r="J20" s="93">
        <f>IF(JuniorPartnership!$A$7&gt;5,H20-I20,"")</f>
        <v>115099.50836350002</v>
      </c>
      <c r="K20" s="90">
        <f>IF(JuniorPartnership!$A$7&gt;5,J20*$G$13,"")</f>
        <v>34529.852509050004</v>
      </c>
      <c r="L20" s="93">
        <f>IF(JuniorPartnership!$A$7&gt;5,J20-K20,"")</f>
        <v>80569.655854450015</v>
      </c>
      <c r="M20" s="93">
        <f>IF(JuniorPartnership!$A$7&gt;5,L20+M19,"")</f>
        <v>289342.15254945005</v>
      </c>
      <c r="N20" s="90">
        <f>IF(JuniorPartnership!$A$7&gt;5,JuniorPartnership!H19*JuniorPartnership!H20,"")</f>
        <v>496836.36143999995</v>
      </c>
      <c r="O20" s="90">
        <f>IF(JuniorPartnership!$A$7&gt;5,N20+M20,"")</f>
        <v>786178.51398944994</v>
      </c>
      <c r="P20" s="89" t="str">
        <f>IF(JuniorPartnership!$A$7&gt;5,"Year 6","")</f>
        <v>Year 6</v>
      </c>
    </row>
    <row r="21" spans="1:16" s="26" customFormat="1" ht="15.6" x14ac:dyDescent="0.3">
      <c r="A21" s="88" t="str">
        <f>IF(JuniorPartnership!$A$7&gt;6,"Year 7","")</f>
        <v>Year 7</v>
      </c>
      <c r="B21" s="90">
        <f>IF(JuniorPartnership!$A$7&gt;6,B20*(1+$C$9),"")</f>
        <v>113434.96817025503</v>
      </c>
      <c r="C21" s="90">
        <f>IF(JuniorPartnership!$A$7&gt;6,$C$12*B21,"")</f>
        <v>34030.490451076505</v>
      </c>
      <c r="D21" s="90">
        <f>IF(JuniorPartnership!$A$7&gt;6,B21-C21,"")</f>
        <v>79404.477719178525</v>
      </c>
      <c r="E21" s="91">
        <f>IF(JuniorPartnership!$A$7&gt;6,D21+E20,"")</f>
        <v>509553.73502512858</v>
      </c>
      <c r="F21" s="92">
        <f>IF(JuniorPartnership!$A$7&gt;6,F20*(1+$G$10),"")</f>
        <v>101494.445204965</v>
      </c>
      <c r="G21" s="90">
        <f>IF(JuniorPartnership!$A$7&gt;6,JuniorPartnership!I20*JuniorPartnership!I22,"")</f>
        <v>118247.05402271998</v>
      </c>
      <c r="H21" s="90">
        <f>IF(JuniorPartnership!$A$7&gt;6,SUM(F21:G21),"")</f>
        <v>219741.49922768498</v>
      </c>
      <c r="I21" s="90">
        <f>IF(JuniorPartnership!$A$7&gt;6,JuniorPartnership!I21,"")</f>
        <v>84462.181444799993</v>
      </c>
      <c r="J21" s="93">
        <f>IF(JuniorPartnership!$A$7&gt;6,H21-I21,"")</f>
        <v>135279.31778288499</v>
      </c>
      <c r="K21" s="90">
        <f>IF(JuniorPartnership!$A$7&gt;6,J21*$G$13,"")</f>
        <v>40583.795334865492</v>
      </c>
      <c r="L21" s="93">
        <f>IF(JuniorPartnership!$A$7&gt;6,J21-K21,"")</f>
        <v>94695.522448019503</v>
      </c>
      <c r="M21" s="93">
        <f>IF(JuniorPartnership!$A$7&gt;6,L21+M20,"")</f>
        <v>384037.67499746953</v>
      </c>
      <c r="N21" s="90">
        <f>IF(JuniorPartnership!$A$7&gt;6,JuniorPartnership!H21*JuniorPartnership!H20,"")</f>
        <v>49683.636144000004</v>
      </c>
      <c r="O21" s="90">
        <f>IF(JuniorPartnership!$A$7&gt;6,N21+M21,"")</f>
        <v>433721.31114146952</v>
      </c>
      <c r="P21" s="89" t="str">
        <f>IF(JuniorPartnership!$A$7&gt;6,"Year 7","")</f>
        <v>Year 7</v>
      </c>
    </row>
    <row r="22" spans="1:16" s="26" customFormat="1" ht="15.6" x14ac:dyDescent="0.3">
      <c r="A22" s="88" t="str">
        <f>IF(JuniorPartnership!$A$7&gt;7,"Year 8","")</f>
        <v>Year 8</v>
      </c>
      <c r="B22" s="90">
        <f>IF(JuniorPartnership!$A$7&gt;7,B21*(1+$C$9),"")</f>
        <v>116838.01721536268</v>
      </c>
      <c r="C22" s="90">
        <f>IF(JuniorPartnership!$A$7&gt;7,$C$12*B22,"")</f>
        <v>35051.405164608805</v>
      </c>
      <c r="D22" s="90">
        <f>IF(JuniorPartnership!$A$7&gt;7,B22-C22,"")</f>
        <v>81786.612050753873</v>
      </c>
      <c r="E22" s="91">
        <f>IF(JuniorPartnership!$A$7&gt;7,D22+E21,"")</f>
        <v>591340.34707588248</v>
      </c>
      <c r="F22" s="92">
        <f>IF(JuniorPartnership!$A$7&gt;7,F21*(1+$G$10),"")</f>
        <v>104539.27856111396</v>
      </c>
      <c r="G22" s="90">
        <f>IF(JuniorPartnership!$A$7&gt;7,JuniorPartnership!J20*JuniorPartnership!J22,"")</f>
        <v>137842.28011791361</v>
      </c>
      <c r="H22" s="90">
        <f>IF(JuniorPartnership!$A$7&gt;7,SUM(F22:G22),"")</f>
        <v>242381.55867902757</v>
      </c>
      <c r="I22" s="90">
        <f>IF(JuniorPartnership!$A$7&gt;7,JuniorPartnership!J21,"")</f>
        <v>86151.425073696009</v>
      </c>
      <c r="J22" s="93">
        <f>IF(JuniorPartnership!$A$7&gt;7,H22-I22,"")</f>
        <v>156230.13360533156</v>
      </c>
      <c r="K22" s="90">
        <f>IF(JuniorPartnership!$A$7&gt;7,J22*$G$13,"")</f>
        <v>46869.040081599465</v>
      </c>
      <c r="L22" s="93">
        <f>IF(JuniorPartnership!$A$7&gt;7,J22-K22,"")</f>
        <v>109361.0935237321</v>
      </c>
      <c r="M22" s="93">
        <f>IF(JuniorPartnership!$A$7&gt;7,L22+M21,"")</f>
        <v>493398.76852120162</v>
      </c>
      <c r="N22" s="90">
        <f>IF(JuniorPartnership!$A$7&gt;7,JuniorPartnership!I19*JuniorPartnership!I20,"")</f>
        <v>591235.27011359995</v>
      </c>
      <c r="O22" s="90">
        <f>IF(JuniorPartnership!$A$7&gt;7,N22+M22,"")</f>
        <v>1084634.0386348015</v>
      </c>
      <c r="P22" s="89" t="str">
        <f>IF(JuniorPartnership!$A$7&gt;7,"Year 8","")</f>
        <v>Year 8</v>
      </c>
    </row>
    <row r="23" spans="1:16" s="26" customFormat="1" ht="15.6" x14ac:dyDescent="0.3">
      <c r="A23" s="88" t="str">
        <f>IF(JuniorPartnership!$A$7&gt;8,"Year 9","")</f>
        <v>Year 9</v>
      </c>
      <c r="B23" s="90">
        <f>IF(JuniorPartnership!$A$7&gt;8,B22*(1+$C$9),"")</f>
        <v>120343.15773182356</v>
      </c>
      <c r="C23" s="90">
        <f>IF(JuniorPartnership!$A$7&gt;8,$C$12*B23,"")</f>
        <v>36102.947319547071</v>
      </c>
      <c r="D23" s="90">
        <f>IF(JuniorPartnership!$A$7&gt;8,B23-C23,"")</f>
        <v>84240.210412276501</v>
      </c>
      <c r="E23" s="91">
        <f>IF(JuniorPartnership!$A$7&gt;8,D23+E22,"")</f>
        <v>675580.55748815904</v>
      </c>
      <c r="F23" s="92">
        <f>IF(JuniorPartnership!$A$7&gt;8,F22*(1+$G$10),"")</f>
        <v>107675.45691794738</v>
      </c>
      <c r="G23" s="90">
        <f>IF(JuniorPartnership!$A$7&gt;8,JuniorPartnership!K20*JuniorPartnership!K22,"")</f>
        <v>158174.01643530585</v>
      </c>
      <c r="H23" s="90">
        <f>IF(JuniorPartnership!$A$7&gt;8,SUM(F23:G23),"")</f>
        <v>265849.47335325321</v>
      </c>
      <c r="I23" s="90">
        <f>IF(JuniorPartnership!$A$7&gt;8,JuniorPartnership!K21,"")</f>
        <v>87874.45357516993</v>
      </c>
      <c r="J23" s="93">
        <f>IF(JuniorPartnership!$A$7&gt;8,H23-I23,"")</f>
        <v>177975.01977808328</v>
      </c>
      <c r="K23" s="90">
        <f>IF(JuniorPartnership!$A$7&gt;8,J23*$G$13,"")</f>
        <v>53392.505933424982</v>
      </c>
      <c r="L23" s="93">
        <f>IF(JuniorPartnership!$A$7&gt;8,J23-K23,"")</f>
        <v>124582.5138446583</v>
      </c>
      <c r="M23" s="93">
        <f>IF(JuniorPartnership!$A$7&gt;8,L23+M22,"")</f>
        <v>617981.28236585995</v>
      </c>
      <c r="N23" s="90">
        <f>IF(JuniorPartnership!$A$7&gt;8,JuniorPartnership!J19*JuniorPartnership!J20,"")</f>
        <v>689211.40058956796</v>
      </c>
      <c r="O23" s="90">
        <f>IF(JuniorPartnership!$A$7&gt;8,N23+M23,"")</f>
        <v>1307192.682955428</v>
      </c>
      <c r="P23" s="89" t="str">
        <f>IF(JuniorPartnership!$A$7&gt;8,"Year 9","")</f>
        <v>Year 9</v>
      </c>
    </row>
    <row r="24" spans="1:16" s="66" customFormat="1" x14ac:dyDescent="0.3">
      <c r="A24" s="29" t="str">
        <f>IF(JuniorPartnership!$A$7&gt;9,"Year 10","")</f>
        <v>Year 10</v>
      </c>
      <c r="B24" s="30">
        <f>IF(JuniorPartnership!$A$7&gt;9,B23*(1+$C$9),"")</f>
        <v>123953.45246377827</v>
      </c>
      <c r="C24" s="30">
        <f>IF(JuniorPartnership!$A$7&gt;9,$C$12*B24,"")</f>
        <v>37186.035739133484</v>
      </c>
      <c r="D24" s="30">
        <f>IF(JuniorPartnership!$A$7&gt;9,B24-C24,"")</f>
        <v>86767.416724644791</v>
      </c>
      <c r="E24" s="60">
        <f>IF(JuniorPartnership!$A$7&gt;9,D24+E23,"")</f>
        <v>762347.97421280388</v>
      </c>
      <c r="F24" s="61">
        <f>IF(JuniorPartnership!$A$7&gt;9,F23*(1+$G$10),"")</f>
        <v>110905.7206254858</v>
      </c>
      <c r="G24" s="62">
        <f>IF(JuniorPartnership!$A$7&gt;9,JuniorPartnership!L20*JuniorPartnership!L22,"")</f>
        <v>179263.88529334663</v>
      </c>
      <c r="H24" s="63">
        <f>IF(JuniorPartnership!$A$7&gt;9,SUM(F24:G24),"")</f>
        <v>290169.60591883241</v>
      </c>
      <c r="I24" s="63">
        <f>IF(JuniorPartnership!$A$7&gt;9,JuniorPartnership!L21,"")</f>
        <v>89631.942646673328</v>
      </c>
      <c r="J24" s="64">
        <f>IF(JuniorPartnership!$A$7&gt;9,H24-I24,"")</f>
        <v>200537.66327215909</v>
      </c>
      <c r="K24" s="63">
        <f>IF(JuniorPartnership!$A$7&gt;9,J24*$G$13,"")</f>
        <v>60161.29898164772</v>
      </c>
      <c r="L24" s="64">
        <f>IF(JuniorPartnership!$A$7&gt;9,J24-K24,"")</f>
        <v>140376.36429051135</v>
      </c>
      <c r="M24" s="64">
        <f>IF(JuniorPartnership!$A$7&gt;9,L24+M23,"")</f>
        <v>758357.6466563713</v>
      </c>
      <c r="N24" s="63">
        <f>IF(JuniorPartnership!$A$7&gt;9,JuniorPartnership!K19*JuniorPartnership!K20,"")</f>
        <v>790870.08217652922</v>
      </c>
      <c r="O24" s="63">
        <f>IF(JuniorPartnership!$A$7&gt;9,N24+M24,"")</f>
        <v>1549227.7288329005</v>
      </c>
      <c r="P24" s="65" t="str">
        <f>IF(JuniorPartnership!$A$7&gt;9,"Year 10","")</f>
        <v>Year 10</v>
      </c>
    </row>
    <row r="25" spans="1:16" s="66" customFormat="1" x14ac:dyDescent="0.3">
      <c r="A25" s="68"/>
      <c r="B25" s="68"/>
      <c r="C25" s="68"/>
      <c r="D25" s="68"/>
      <c r="E25" s="69"/>
      <c r="F25" s="70"/>
      <c r="G25" s="71"/>
      <c r="H25" s="72"/>
      <c r="I25" s="72"/>
      <c r="J25" s="73"/>
      <c r="K25" s="72"/>
      <c r="L25" s="73"/>
      <c r="M25" s="73"/>
      <c r="N25" s="72"/>
      <c r="O25" s="72"/>
      <c r="P25" s="74"/>
    </row>
    <row r="26" spans="1:16" ht="16.95" customHeight="1" x14ac:dyDescent="0.35">
      <c r="A26" s="32"/>
      <c r="B26" s="32"/>
      <c r="C26" s="37"/>
      <c r="D26" s="37"/>
      <c r="E26" s="39"/>
      <c r="F26" s="41"/>
      <c r="G26" s="41"/>
      <c r="H26" s="41"/>
      <c r="I26" s="41"/>
      <c r="J26" s="41"/>
      <c r="K26" s="50">
        <f>JuniorPartnership!A7</f>
        <v>10</v>
      </c>
      <c r="L26" s="148" t="s">
        <v>42</v>
      </c>
      <c r="M26" s="148"/>
      <c r="N26" s="148"/>
      <c r="O26" s="148"/>
      <c r="P26" s="67"/>
    </row>
    <row r="27" spans="1:16" ht="18" customHeight="1" x14ac:dyDescent="0.35">
      <c r="A27" s="32"/>
      <c r="B27" s="32"/>
      <c r="C27" s="37"/>
      <c r="D27" s="37"/>
      <c r="E27" s="39"/>
      <c r="F27" s="49"/>
      <c r="G27" s="41"/>
      <c r="H27" s="41"/>
      <c r="I27" s="41"/>
      <c r="J27" s="41"/>
      <c r="K27" s="51"/>
      <c r="L27" s="148"/>
      <c r="M27" s="148"/>
      <c r="N27" s="148"/>
      <c r="O27" s="148"/>
      <c r="P27" s="67"/>
    </row>
    <row r="28" spans="1:16" ht="18" x14ac:dyDescent="0.35">
      <c r="A28" s="32"/>
      <c r="B28" s="32"/>
      <c r="C28" s="37"/>
      <c r="D28" s="37"/>
      <c r="E28" s="39"/>
      <c r="F28" s="49"/>
      <c r="G28" s="41"/>
      <c r="H28" s="41"/>
      <c r="I28" s="41"/>
      <c r="J28" s="41"/>
      <c r="K28" s="51"/>
      <c r="L28" s="148"/>
      <c r="M28" s="148"/>
      <c r="N28" s="148"/>
      <c r="O28" s="148"/>
      <c r="P28" s="67"/>
    </row>
    <row r="29" spans="1:16" ht="18" x14ac:dyDescent="0.35">
      <c r="A29" s="32"/>
      <c r="B29" s="32"/>
      <c r="C29" s="37"/>
      <c r="D29" s="37"/>
      <c r="E29" s="39"/>
      <c r="F29" s="49"/>
      <c r="G29" s="41"/>
      <c r="H29" s="41"/>
      <c r="I29" s="41"/>
      <c r="J29" s="41"/>
      <c r="K29" s="51"/>
      <c r="L29" s="148"/>
      <c r="M29" s="148"/>
      <c r="N29" s="148"/>
      <c r="O29" s="148"/>
      <c r="P29" s="67"/>
    </row>
    <row r="30" spans="1:16" ht="21" customHeight="1" x14ac:dyDescent="0.35">
      <c r="A30" s="32"/>
      <c r="B30" s="32"/>
      <c r="C30" s="149"/>
      <c r="D30" s="149"/>
      <c r="E30" s="38"/>
      <c r="F30" s="42"/>
      <c r="G30" s="41"/>
      <c r="H30" s="47"/>
      <c r="I30" s="47"/>
      <c r="J30" s="41"/>
      <c r="K30" s="147">
        <f>HLOOKUP(O14,O14:O24,K26+1,FALSE)-HLOOKUP(E14,E14:E24,K26+1,FALSE)</f>
        <v>786879.75462009665</v>
      </c>
      <c r="L30" s="147"/>
      <c r="M30" s="147"/>
      <c r="N30" s="147"/>
      <c r="O30" s="147"/>
      <c r="P30" s="44"/>
    </row>
    <row r="31" spans="1:16" ht="18" x14ac:dyDescent="0.35">
      <c r="A31" s="32"/>
      <c r="B31" s="32"/>
      <c r="C31" s="32"/>
      <c r="D31" s="32"/>
      <c r="E31" s="38"/>
      <c r="F31" s="44"/>
      <c r="G31" s="47"/>
      <c r="H31" s="47"/>
      <c r="I31" s="47"/>
      <c r="J31" s="48"/>
      <c r="K31" s="44"/>
      <c r="L31" s="47"/>
      <c r="M31" s="47"/>
      <c r="N31" s="47"/>
      <c r="O31" s="48"/>
      <c r="P31" s="44"/>
    </row>
    <row r="32" spans="1:16" x14ac:dyDescent="0.3">
      <c r="G32" s="7"/>
      <c r="H32" s="9"/>
      <c r="I32" s="9"/>
      <c r="J32" s="9"/>
      <c r="K32" s="9"/>
      <c r="L32" s="9"/>
    </row>
    <row r="33" spans="7:12" x14ac:dyDescent="0.3">
      <c r="G33" s="7"/>
      <c r="H33" s="9"/>
      <c r="I33" s="9"/>
      <c r="J33" s="9"/>
      <c r="K33" s="9"/>
      <c r="L33" s="9"/>
    </row>
    <row r="34" spans="7:12" x14ac:dyDescent="0.3">
      <c r="G34" s="7"/>
      <c r="H34" s="9"/>
      <c r="I34" s="9"/>
      <c r="J34" s="9"/>
      <c r="K34" s="9"/>
      <c r="L34" s="9"/>
    </row>
    <row r="35" spans="7:12" x14ac:dyDescent="0.3">
      <c r="G35" s="7"/>
      <c r="H35" s="9"/>
      <c r="I35" s="9"/>
      <c r="J35" s="9"/>
      <c r="K35" s="9"/>
      <c r="L35" s="9"/>
    </row>
    <row r="36" spans="7:12" x14ac:dyDescent="0.3">
      <c r="G36" s="7"/>
      <c r="H36" s="9"/>
      <c r="I36" s="9"/>
      <c r="J36" s="9"/>
      <c r="K36" s="9"/>
      <c r="L36" s="9"/>
    </row>
    <row r="37" spans="7:12" x14ac:dyDescent="0.3">
      <c r="G37" s="7"/>
      <c r="H37" s="9"/>
      <c r="I37" s="9"/>
      <c r="J37" s="9"/>
      <c r="K37" s="9"/>
      <c r="L37" s="9"/>
    </row>
    <row r="38" spans="7:12" x14ac:dyDescent="0.3">
      <c r="G38" s="7"/>
      <c r="H38" s="9"/>
      <c r="I38" s="9"/>
      <c r="J38" s="9"/>
      <c r="K38" s="9"/>
      <c r="L38" s="9"/>
    </row>
    <row r="39" spans="7:12" x14ac:dyDescent="0.3">
      <c r="G39" s="7"/>
      <c r="H39" s="9"/>
      <c r="I39" s="9"/>
      <c r="J39" s="9"/>
      <c r="K39" s="9"/>
      <c r="L39" s="9"/>
    </row>
    <row r="40" spans="7:12" x14ac:dyDescent="0.3">
      <c r="G40" s="7"/>
      <c r="H40" s="9"/>
      <c r="I40" s="9"/>
      <c r="J40" s="9"/>
      <c r="K40" s="9"/>
      <c r="L40" s="9"/>
    </row>
    <row r="41" spans="7:12" x14ac:dyDescent="0.3">
      <c r="G41" s="7"/>
      <c r="H41" s="7"/>
      <c r="I41" s="7"/>
      <c r="J41" s="7"/>
      <c r="K41" s="7"/>
      <c r="L41" s="7"/>
    </row>
    <row r="42" spans="7:12" x14ac:dyDescent="0.3">
      <c r="G42" s="7"/>
      <c r="H42" s="8"/>
      <c r="I42" s="8"/>
      <c r="J42" s="8"/>
      <c r="K42" s="10"/>
      <c r="L42" s="10"/>
    </row>
    <row r="43" spans="7:12" x14ac:dyDescent="0.3">
      <c r="G43" s="7"/>
      <c r="H43" s="9"/>
      <c r="I43" s="9"/>
      <c r="J43" s="9"/>
      <c r="K43" s="9"/>
      <c r="L43" s="9"/>
    </row>
    <row r="44" spans="7:12" x14ac:dyDescent="0.3">
      <c r="G44" s="7"/>
      <c r="H44" s="9"/>
      <c r="I44" s="9"/>
      <c r="J44" s="9"/>
      <c r="K44" s="9"/>
      <c r="L44" s="9"/>
    </row>
    <row r="45" spans="7:12" x14ac:dyDescent="0.3">
      <c r="G45" s="7"/>
      <c r="H45" s="9"/>
      <c r="I45" s="9"/>
      <c r="J45" s="9"/>
      <c r="K45" s="9"/>
      <c r="L45" s="9"/>
    </row>
    <row r="46" spans="7:12" x14ac:dyDescent="0.3">
      <c r="G46" s="7"/>
      <c r="H46" s="9"/>
      <c r="I46" s="9"/>
      <c r="J46" s="9"/>
      <c r="K46" s="9"/>
      <c r="L46" s="9"/>
    </row>
    <row r="47" spans="7:12" x14ac:dyDescent="0.3">
      <c r="G47" s="7"/>
      <c r="H47" s="9"/>
      <c r="I47" s="9"/>
      <c r="J47" s="9"/>
      <c r="K47" s="9"/>
      <c r="L47" s="9"/>
    </row>
    <row r="48" spans="7:12" x14ac:dyDescent="0.3">
      <c r="G48" s="7"/>
      <c r="H48" s="9"/>
      <c r="I48" s="9"/>
      <c r="J48" s="9"/>
      <c r="K48" s="9"/>
      <c r="L48" s="9"/>
    </row>
    <row r="49" spans="7:12" x14ac:dyDescent="0.3">
      <c r="G49" s="7"/>
      <c r="H49" s="9"/>
      <c r="I49" s="9"/>
      <c r="J49" s="9"/>
      <c r="K49" s="9"/>
      <c r="L49" s="9"/>
    </row>
    <row r="50" spans="7:12" x14ac:dyDescent="0.3">
      <c r="G50" s="7"/>
      <c r="H50" s="9"/>
      <c r="I50" s="9"/>
      <c r="J50" s="9"/>
      <c r="K50" s="9"/>
      <c r="L50" s="9"/>
    </row>
    <row r="51" spans="7:12" x14ac:dyDescent="0.3">
      <c r="G51" s="7"/>
      <c r="H51" s="9"/>
      <c r="I51" s="9"/>
      <c r="J51" s="9"/>
      <c r="K51" s="9"/>
      <c r="L51" s="9"/>
    </row>
    <row r="52" spans="7:12" x14ac:dyDescent="0.3">
      <c r="G52" s="7"/>
      <c r="H52" s="9"/>
      <c r="I52" s="9"/>
      <c r="J52" s="9"/>
      <c r="K52" s="9"/>
      <c r="L52" s="9"/>
    </row>
  </sheetData>
  <sheetProtection password="C94F" sheet="1" objects="1" scenarios="1" selectLockedCells="1"/>
  <mergeCells count="15">
    <mergeCell ref="K30:O30"/>
    <mergeCell ref="L26:O29"/>
    <mergeCell ref="C30:D30"/>
    <mergeCell ref="G13:H13"/>
    <mergeCell ref="A12:B12"/>
    <mergeCell ref="C12:C13"/>
    <mergeCell ref="B2:D3"/>
    <mergeCell ref="G2:I3"/>
    <mergeCell ref="A6:B7"/>
    <mergeCell ref="A9:B10"/>
    <mergeCell ref="C9:C10"/>
    <mergeCell ref="C6:C7"/>
    <mergeCell ref="G7:H7"/>
    <mergeCell ref="G10:H10"/>
    <mergeCell ref="G5:H6"/>
  </mergeCells>
  <phoneticPr fontId="0" type="noConversion"/>
  <pageMargins left="0.7" right="0.7" top="0.75" bottom="0.75" header="0.3" footer="0.3"/>
  <ignoredErrors>
    <ignoredError sqref="K15:K20 K21:K2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JuniorPartnership</vt:lpstr>
      <vt:lpstr>OwnerPaymentComparisons</vt:lpstr>
      <vt:lpstr>JuniorPartnerPaymentComparison</vt:lpstr>
    </vt:vector>
  </TitlesOfParts>
  <Company>NCPA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NCPA</dc:creator>
  <cp:lastModifiedBy>Lisa Schwartz</cp:lastModifiedBy>
  <cp:lastPrinted>2014-11-18T15:22:34Z</cp:lastPrinted>
  <dcterms:created xsi:type="dcterms:W3CDTF">2008-08-13T13:00:28Z</dcterms:created>
  <dcterms:modified xsi:type="dcterms:W3CDTF">2015-01-02T21:22:57Z</dcterms:modified>
</cp:coreProperties>
</file>